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13" documentId="13_ncr:1_{CE21208F-0352-4A0F-90A1-ADEA21ED3B24}" xr6:coauthVersionLast="45" xr6:coauthVersionMax="45" xr10:uidLastSave="{EEFE0FAF-74E8-4945-BB93-A6B3314B5AC8}"/>
  <bookViews>
    <workbookView xWindow="0" yWindow="460" windowWidth="25180" windowHeight="16260" xr2:uid="{0DC36C22-9BDC-445F-9072-776FB277C46D}"/>
  </bookViews>
  <sheets>
    <sheet name="Consolidating" sheetId="1" r:id="rId1"/>
    <sheet name="GMD Master PL" sheetId="2" r:id="rId2"/>
  </sheets>
  <definedNames>
    <definedName name="ConsPLRef">'GMD Master PL'!$B$7:$B$34</definedName>
    <definedName name="GMDPLData">'GMD Master PL'!$C$7:$L$34</definedName>
    <definedName name="GMDPLMonth">'GMD Master PL'!$C$5:$L$5</definedName>
    <definedName name="_xlnm.Print_Area" localSheetId="0">Consolidating!$B$2:$AI$14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  <c r="AG9" i="1" l="1"/>
  <c r="AD9" i="1"/>
  <c r="AA9" i="1"/>
  <c r="X9" i="1"/>
  <c r="U9" i="1"/>
  <c r="R9" i="1"/>
  <c r="O9" i="1"/>
  <c r="L9" i="1"/>
  <c r="I9" i="1"/>
  <c r="F9" i="1"/>
  <c r="K33" i="2"/>
  <c r="L32" i="2"/>
  <c r="K32" i="2"/>
  <c r="J32" i="2"/>
  <c r="E32" i="2"/>
  <c r="M32" i="2" s="1"/>
  <c r="D32" i="2"/>
  <c r="C32" i="2"/>
  <c r="M31" i="2"/>
  <c r="I31" i="2"/>
  <c r="I32" i="2" s="1"/>
  <c r="I33" i="2" s="1"/>
  <c r="H31" i="2"/>
  <c r="H32" i="2" s="1"/>
  <c r="G31" i="2"/>
  <c r="G32" i="2" s="1"/>
  <c r="G33" i="2" s="1"/>
  <c r="F31" i="2"/>
  <c r="F32" i="2" s="1"/>
  <c r="L29" i="2"/>
  <c r="L33" i="2" s="1"/>
  <c r="K29" i="2"/>
  <c r="J29" i="2"/>
  <c r="J33" i="2" s="1"/>
  <c r="I29" i="2"/>
  <c r="H29" i="2"/>
  <c r="G29" i="2"/>
  <c r="F29" i="2"/>
  <c r="F33" i="2" s="1"/>
  <c r="E29" i="2"/>
  <c r="E33" i="2" s="1"/>
  <c r="D29" i="2"/>
  <c r="D33" i="2" s="1"/>
  <c r="M28" i="2"/>
  <c r="F28" i="2"/>
  <c r="E28" i="2"/>
  <c r="D28" i="2"/>
  <c r="C28" i="2"/>
  <c r="C29" i="2" s="1"/>
  <c r="K25" i="2"/>
  <c r="E25" i="2"/>
  <c r="K24" i="2"/>
  <c r="G24" i="2"/>
  <c r="F24" i="2"/>
  <c r="M24" i="2" s="1"/>
  <c r="I23" i="2"/>
  <c r="M23" i="2" s="1"/>
  <c r="L22" i="2"/>
  <c r="M22" i="2" s="1"/>
  <c r="K22" i="2"/>
  <c r="L21" i="2"/>
  <c r="K21" i="2"/>
  <c r="J21" i="2"/>
  <c r="I21" i="2"/>
  <c r="H21" i="2"/>
  <c r="G21" i="2"/>
  <c r="G25" i="2" s="1"/>
  <c r="D21" i="2"/>
  <c r="C21" i="2"/>
  <c r="M21" i="2" s="1"/>
  <c r="L20" i="2"/>
  <c r="I20" i="2"/>
  <c r="H20" i="2"/>
  <c r="M20" i="2" s="1"/>
  <c r="D20" i="2"/>
  <c r="C20" i="2"/>
  <c r="I19" i="2"/>
  <c r="H19" i="2"/>
  <c r="H25" i="2" s="1"/>
  <c r="C19" i="2"/>
  <c r="M19" i="2" s="1"/>
  <c r="I18" i="2"/>
  <c r="M18" i="2" s="1"/>
  <c r="K17" i="2"/>
  <c r="I17" i="2"/>
  <c r="G17" i="2"/>
  <c r="F17" i="2"/>
  <c r="E17" i="2"/>
  <c r="M17" i="2" s="1"/>
  <c r="L16" i="2"/>
  <c r="L25" i="2" s="1"/>
  <c r="J16" i="2"/>
  <c r="J25" i="2" s="1"/>
  <c r="I16" i="2"/>
  <c r="I25" i="2" s="1"/>
  <c r="H16" i="2"/>
  <c r="G16" i="2"/>
  <c r="F16" i="2"/>
  <c r="F25" i="2" s="1"/>
  <c r="E16" i="2"/>
  <c r="D16" i="2"/>
  <c r="D25" i="2" s="1"/>
  <c r="C16" i="2"/>
  <c r="M16" i="2" s="1"/>
  <c r="K13" i="2"/>
  <c r="I13" i="2"/>
  <c r="I14" i="2" s="1"/>
  <c r="I26" i="2" s="1"/>
  <c r="I34" i="2" s="1"/>
  <c r="G13" i="2"/>
  <c r="E13" i="2"/>
  <c r="D13" i="2"/>
  <c r="D14" i="2" s="1"/>
  <c r="C13" i="2"/>
  <c r="L12" i="2"/>
  <c r="L13" i="2" s="1"/>
  <c r="L14" i="2" s="1"/>
  <c r="L26" i="2" s="1"/>
  <c r="L34" i="2" s="1"/>
  <c r="K12" i="2"/>
  <c r="J12" i="2"/>
  <c r="I12" i="2"/>
  <c r="H12" i="2"/>
  <c r="M12" i="2" s="1"/>
  <c r="L11" i="2"/>
  <c r="K11" i="2"/>
  <c r="J11" i="2"/>
  <c r="J13" i="2" s="1"/>
  <c r="I11" i="2"/>
  <c r="H11" i="2"/>
  <c r="H13" i="2" s="1"/>
  <c r="F10" i="2"/>
  <c r="F13" i="2" s="1"/>
  <c r="F14" i="2" s="1"/>
  <c r="F26" i="2" s="1"/>
  <c r="F34" i="2" s="1"/>
  <c r="L8" i="2"/>
  <c r="K8" i="2"/>
  <c r="K14" i="2" s="1"/>
  <c r="K26" i="2" s="1"/>
  <c r="K34" i="2" s="1"/>
  <c r="J8" i="2"/>
  <c r="I8" i="2"/>
  <c r="H8" i="2"/>
  <c r="H14" i="2" s="1"/>
  <c r="H26" i="2" s="1"/>
  <c r="G8" i="2"/>
  <c r="G14" i="2" s="1"/>
  <c r="G26" i="2" s="1"/>
  <c r="G34" i="2" s="1"/>
  <c r="F8" i="2"/>
  <c r="E8" i="2"/>
  <c r="E14" i="2" s="1"/>
  <c r="E26" i="2" s="1"/>
  <c r="E34" i="2" s="1"/>
  <c r="D8" i="2"/>
  <c r="C8" i="2"/>
  <c r="C14" i="2" s="1"/>
  <c r="M7" i="2"/>
  <c r="AG7" i="1"/>
  <c r="AD7" i="1"/>
  <c r="AA7" i="1"/>
  <c r="X7" i="1"/>
  <c r="U7" i="1"/>
  <c r="R7" i="1"/>
  <c r="O7" i="1"/>
  <c r="L7" i="1"/>
  <c r="I7" i="1"/>
  <c r="M13" i="2" l="1"/>
  <c r="D26" i="2"/>
  <c r="D34" i="2" s="1"/>
  <c r="J14" i="2"/>
  <c r="J26" i="2" s="1"/>
  <c r="J34" i="2" s="1"/>
  <c r="M14" i="2"/>
  <c r="M29" i="2"/>
  <c r="C33" i="2"/>
  <c r="M33" i="2" s="1"/>
  <c r="H34" i="2"/>
  <c r="H33" i="2"/>
  <c r="M8" i="2"/>
  <c r="M11" i="2"/>
  <c r="M10" i="2"/>
  <c r="C25" i="2"/>
  <c r="M25" i="2" s="1"/>
  <c r="C26" i="2" l="1"/>
  <c r="C34" i="2" l="1"/>
  <c r="M34" i="2" s="1"/>
  <c r="M26" i="2"/>
</calcChain>
</file>

<file path=xl/sharedStrings.xml><?xml version="1.0" encoding="utf-8"?>
<sst xmlns="http://schemas.openxmlformats.org/spreadsheetml/2006/main" count="74" uniqueCount="41">
  <si>
    <t>Ref</t>
  </si>
  <si>
    <t>GD</t>
  </si>
  <si>
    <t>GMD</t>
  </si>
  <si>
    <t>G360</t>
  </si>
  <si>
    <t>Revenue</t>
  </si>
  <si>
    <t>Cost of Goods Sold</t>
  </si>
  <si>
    <t>Gross Profit</t>
  </si>
  <si>
    <t>Operating Expenses</t>
  </si>
  <si>
    <t>Other income</t>
  </si>
  <si>
    <t>Interest income / expense</t>
  </si>
  <si>
    <t>EBITDA</t>
  </si>
  <si>
    <t>Consol PL ref</t>
  </si>
  <si>
    <t>Total</t>
  </si>
  <si>
    <t>Income</t>
  </si>
  <si>
    <t xml:space="preserve">   Sales</t>
  </si>
  <si>
    <t>Total Income</t>
  </si>
  <si>
    <t xml:space="preserve">   Cost of Goods Sold</t>
  </si>
  <si>
    <t xml:space="preserve">   Fulfillment - Kits</t>
  </si>
  <si>
    <t xml:space="preserve">   Fulfillment - Shipping</t>
  </si>
  <si>
    <t>Total Cost of Goods Sold</t>
  </si>
  <si>
    <t>Expenses</t>
  </si>
  <si>
    <t xml:space="preserve">   Advertising &amp; Marketing</t>
  </si>
  <si>
    <t>Operating expenses</t>
  </si>
  <si>
    <t xml:space="preserve">   Bank Charges &amp; Fees</t>
  </si>
  <si>
    <t xml:space="preserve">   Consulting</t>
  </si>
  <si>
    <t xml:space="preserve">   Lab Fee</t>
  </si>
  <si>
    <t xml:space="preserve">   Legal &amp; Professional Services</t>
  </si>
  <si>
    <t xml:space="preserve">   Office Expense</t>
  </si>
  <si>
    <t xml:space="preserve">   Shipping</t>
  </si>
  <si>
    <t xml:space="preserve">   Taxes &amp; Licenses</t>
  </si>
  <si>
    <t xml:space="preserve">   TeleMed</t>
  </si>
  <si>
    <t>Total Expenses</t>
  </si>
  <si>
    <t>Net Operating Income</t>
  </si>
  <si>
    <t>Other Income</t>
  </si>
  <si>
    <t xml:space="preserve">   Interest Income</t>
  </si>
  <si>
    <t>Total Other Income</t>
  </si>
  <si>
    <t>Other Expenses</t>
  </si>
  <si>
    <t xml:space="preserve">   Interest Expense</t>
  </si>
  <si>
    <t>Total Other Expenses</t>
  </si>
  <si>
    <t>Net Other Income</t>
  </si>
  <si>
    <t>Net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</si>
</sst>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[$-409]mmm\-yy;@"/>
    <numFmt numFmtId="166" formatCode="_(&quot;$&quot;* #,##0_);_(&quot;$&quot;* \(#,##0\);_(&quot;$&quot;* &quot;-&quot;??_);_(@_)"/>
    <numFmt numFmtId="167" formatCode="_(* #,##0_);_(* \(#,##0\);_(* &quot;-&quot;??_);_(@_)"/>
    <numFmt numFmtId="168" formatCode="#,##0.00\ _€"/>
    <numFmt numFmtId="169" formatCode="&quot;$&quot;* #,##0\ _€"/>
  </numFmts>
  <fonts count="14" x14ac:knownFonts="1">
    <font>
      <sz val="11"/>
      <color theme="1"/>
      <name val="Arial Narrow"/>
      <family val="2"/>
    </font>
    <font>
      <sz val="11"/>
      <color theme="1"/>
      <name val="Arial Narrow"/>
      <family val="2"/>
    </font>
    <font>
      <b/>
      <i/>
      <sz val="14"/>
      <color theme="0"/>
      <name val="Arial Narrow"/>
      <family val="2"/>
    </font>
    <font>
      <sz val="11"/>
      <name val="Arial Narrow"/>
      <family val="2"/>
    </font>
    <font>
      <b/>
      <i/>
      <sz val="11"/>
      <color theme="0"/>
      <name val="Arial Narrow"/>
      <family val="2"/>
    </font>
    <font>
      <sz val="14"/>
      <name val="Arial Narrow"/>
      <family val="2"/>
    </font>
    <font>
      <b/>
      <sz val="11"/>
      <color theme="1"/>
      <name val="Arial Narrow"/>
      <family val="2"/>
    </font>
    <font>
      <sz val="11"/>
      <color rgb="FFFF0000"/>
      <name val="Arial Narrow"/>
      <family val="2"/>
    </font>
    <font>
      <sz val="11"/>
      <color indexed="8"/>
      <name val="Calibri"/>
      <family val="2"/>
      <scheme val="minor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1" tint="0.34998626667073579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165" fontId="2" fillId="2" borderId="0" xfId="0" applyNumberFormat="1" applyFont="1" applyFill="1" applyAlignment="1">
      <alignment horizontal="centerContinuous" vertical="center" wrapText="1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165" fontId="2" fillId="2" borderId="0" xfId="0" applyNumberFormat="1" applyFont="1" applyFill="1" applyAlignment="1">
      <alignment horizontal="center" vertical="center" wrapText="1"/>
    </xf>
    <xf numFmtId="165" fontId="2" fillId="2" borderId="4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3" borderId="5" xfId="0" applyFill="1" applyBorder="1" applyAlignment="1">
      <alignment vertical="center"/>
    </xf>
    <xf numFmtId="166" fontId="0" fillId="3" borderId="0" xfId="2" applyNumberFormat="1" applyFont="1" applyFill="1" applyBorder="1" applyAlignment="1">
      <alignment vertical="center"/>
    </xf>
    <xf numFmtId="166" fontId="0" fillId="3" borderId="6" xfId="2" applyNumberFormat="1" applyFont="1" applyFill="1" applyBorder="1" applyAlignment="1">
      <alignment vertical="center"/>
    </xf>
    <xf numFmtId="166" fontId="0" fillId="0" borderId="0" xfId="0" applyNumberFormat="1" applyAlignment="1">
      <alignment vertical="center"/>
    </xf>
    <xf numFmtId="0" fontId="0" fillId="0" borderId="5" xfId="0" applyBorder="1" applyAlignment="1">
      <alignment horizontal="left" vertical="center" wrapText="1"/>
    </xf>
    <xf numFmtId="167" fontId="0" fillId="0" borderId="0" xfId="1" applyNumberFormat="1" applyFont="1" applyFill="1" applyBorder="1" applyAlignment="1">
      <alignment horizontal="center" vertical="center" wrapText="1"/>
    </xf>
    <xf numFmtId="167" fontId="0" fillId="0" borderId="6" xfId="1" applyNumberFormat="1" applyFont="1" applyFill="1" applyBorder="1" applyAlignment="1">
      <alignment horizontal="center" vertical="center" wrapText="1"/>
    </xf>
    <xf numFmtId="166" fontId="0" fillId="0" borderId="7" xfId="2" applyNumberFormat="1" applyFont="1" applyFill="1" applyBorder="1" applyAlignment="1">
      <alignment vertical="center"/>
    </xf>
    <xf numFmtId="166" fontId="0" fillId="0" borderId="8" xfId="2" applyNumberFormat="1" applyFont="1" applyFill="1" applyBorder="1" applyAlignment="1">
      <alignment vertical="center"/>
    </xf>
    <xf numFmtId="43" fontId="0" fillId="0" borderId="0" xfId="1" applyFont="1" applyBorder="1" applyAlignment="1">
      <alignment vertical="center"/>
    </xf>
    <xf numFmtId="167" fontId="0" fillId="3" borderId="0" xfId="1" applyNumberFormat="1" applyFont="1" applyFill="1" applyBorder="1" applyAlignment="1">
      <alignment vertical="center"/>
    </xf>
    <xf numFmtId="167" fontId="0" fillId="3" borderId="6" xfId="1" applyNumberFormat="1" applyFont="1" applyFill="1" applyBorder="1" applyAlignment="1">
      <alignment vertical="center"/>
    </xf>
    <xf numFmtId="167" fontId="0" fillId="0" borderId="0" xfId="1" applyNumberFormat="1" applyFont="1" applyFill="1" applyBorder="1" applyAlignment="1">
      <alignment vertical="center"/>
    </xf>
    <xf numFmtId="167" fontId="0" fillId="0" borderId="6" xfId="1" applyNumberFormat="1" applyFont="1" applyFill="1" applyBorder="1" applyAlignment="1">
      <alignment vertical="center"/>
    </xf>
    <xf numFmtId="0" fontId="0" fillId="0" borderId="5" xfId="0" applyBorder="1" applyAlignment="1">
      <alignment horizontal="left" vertical="center"/>
    </xf>
    <xf numFmtId="0" fontId="0" fillId="0" borderId="5" xfId="0" applyBorder="1" applyAlignment="1">
      <alignment horizontal="left" vertical="center" indent="1"/>
    </xf>
    <xf numFmtId="167" fontId="0" fillId="0" borderId="0" xfId="0" applyNumberFormat="1" applyAlignment="1">
      <alignment horizontal="center" vertical="center"/>
    </xf>
    <xf numFmtId="167" fontId="0" fillId="0" borderId="7" xfId="1" applyNumberFormat="1" applyFont="1" applyFill="1" applyBorder="1" applyAlignment="1">
      <alignment vertical="center"/>
    </xf>
    <xf numFmtId="167" fontId="0" fillId="0" borderId="8" xfId="1" applyNumberFormat="1" applyFont="1" applyFill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166" fontId="6" fillId="3" borderId="0" xfId="2" applyNumberFormat="1" applyFont="1" applyFill="1" applyBorder="1" applyAlignment="1">
      <alignment vertical="center"/>
    </xf>
    <xf numFmtId="166" fontId="6" fillId="3" borderId="6" xfId="2" applyNumberFormat="1" applyFont="1" applyFill="1" applyBorder="1" applyAlignment="1">
      <alignment vertical="center"/>
    </xf>
    <xf numFmtId="166" fontId="7" fillId="0" borderId="0" xfId="0" applyNumberFormat="1" applyFont="1" applyAlignment="1">
      <alignment vertical="center"/>
    </xf>
    <xf numFmtId="0" fontId="9" fillId="0" borderId="0" xfId="3" applyFont="1"/>
    <xf numFmtId="0" fontId="8" fillId="0" borderId="0" xfId="3"/>
    <xf numFmtId="0" fontId="10" fillId="0" borderId="0" xfId="3" applyFont="1"/>
    <xf numFmtId="0" fontId="8" fillId="0" borderId="0" xfId="3" applyAlignment="1">
      <alignment wrapText="1"/>
    </xf>
    <xf numFmtId="165" fontId="2" fillId="2" borderId="0" xfId="3" applyNumberFormat="1" applyFont="1" applyFill="1" applyAlignment="1">
      <alignment horizontal="centerContinuous" vertical="center" wrapText="1"/>
    </xf>
    <xf numFmtId="0" fontId="11" fillId="0" borderId="7" xfId="3" applyFont="1" applyBorder="1" applyAlignment="1">
      <alignment horizontal="center" wrapText="1"/>
    </xf>
    <xf numFmtId="0" fontId="12" fillId="0" borderId="0" xfId="3" applyFont="1" applyAlignment="1">
      <alignment horizontal="left" wrapText="1"/>
    </xf>
    <xf numFmtId="168" fontId="13" fillId="0" borderId="0" xfId="3" applyNumberFormat="1" applyFont="1" applyAlignment="1">
      <alignment wrapText="1"/>
    </xf>
    <xf numFmtId="169" fontId="13" fillId="0" borderId="0" xfId="3" applyNumberFormat="1" applyFont="1" applyAlignment="1">
      <alignment horizontal="right" wrapText="1"/>
    </xf>
    <xf numFmtId="169" fontId="13" fillId="0" borderId="0" xfId="3" applyNumberFormat="1" applyFont="1" applyAlignment="1">
      <alignment wrapText="1"/>
    </xf>
    <xf numFmtId="169" fontId="12" fillId="0" borderId="9" xfId="3" applyNumberFormat="1" applyFont="1" applyBorder="1" applyAlignment="1">
      <alignment horizontal="right" wrapText="1"/>
    </xf>
    <xf numFmtId="0" fontId="13" fillId="0" borderId="0" xfId="3" applyFont="1"/>
  </cellXfs>
  <cellStyles count="4">
    <cellStyle name="Comma" xfId="1" builtinId="3"/>
    <cellStyle name="Currency" xfId="2" builtinId="4"/>
    <cellStyle name="Normal" xfId="0" builtinId="0"/>
    <cellStyle name="Normal 3" xfId="3" xr:uid="{200E31C7-8183-4280-A119-50C4A670E3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3E0D2-403A-4770-BBFE-3D93D71AE650}">
  <sheetPr>
    <tabColor theme="4"/>
    <pageSetUpPr fitToPage="1"/>
  </sheetPr>
  <dimension ref="B1:AK15"/>
  <sheetViews>
    <sheetView showGridLines="0" tabSelected="1" zoomScale="120" zoomScaleNormal="120" workbookViewId="0">
      <pane xSplit="3" ySplit="5" topLeftCell="D6" activePane="bottomRight" state="frozen"/>
      <selection activeCell="A34" sqref="A34:XFD108"/>
      <selection pane="topRight" activeCell="A34" sqref="A34:XFD108"/>
      <selection pane="bottomLeft" activeCell="A34" sqref="A34:XFD108"/>
      <selection pane="bottomRight" activeCell="F7" sqref="F7"/>
    </sheetView>
  </sheetViews>
  <sheetFormatPr baseColWidth="10" defaultColWidth="9" defaultRowHeight="25.25" customHeight="1" outlineLevelCol="1" x14ac:dyDescent="0.15"/>
  <cols>
    <col min="1" max="1" width="2" style="1" customWidth="1"/>
    <col min="2" max="2" width="1.59765625" style="1" customWidth="1"/>
    <col min="3" max="3" width="32" style="1" customWidth="1"/>
    <col min="4" max="4" width="32" style="1" customWidth="1" outlineLevel="1"/>
    <col min="5" max="34" width="15" style="1" customWidth="1"/>
    <col min="35" max="35" width="2.3984375" style="1" customWidth="1"/>
    <col min="36" max="36" width="5.59765625" style="1" customWidth="1"/>
    <col min="37" max="37" width="15.796875" style="1" customWidth="1"/>
    <col min="38" max="16384" width="9" style="1"/>
  </cols>
  <sheetData>
    <row r="1" spans="2:37" ht="4.25" customHeight="1" thickBot="1" x14ac:dyDescent="0.2"/>
    <row r="2" spans="2:37" ht="25.25" customHeight="1" x14ac:dyDescent="0.1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</row>
    <row r="3" spans="2:37" ht="10.25" customHeight="1" x14ac:dyDescent="0.15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</row>
    <row r="4" spans="2:37" ht="19" thickBot="1" x14ac:dyDescent="0.2">
      <c r="B4" s="4"/>
      <c r="C4" s="5"/>
      <c r="D4" s="5"/>
      <c r="E4" s="6">
        <v>43831</v>
      </c>
      <c r="F4" s="6"/>
      <c r="G4" s="6"/>
      <c r="H4" s="6">
        <v>43862</v>
      </c>
      <c r="I4" s="6"/>
      <c r="J4" s="6"/>
      <c r="K4" s="6">
        <v>43891</v>
      </c>
      <c r="L4" s="6"/>
      <c r="M4" s="6"/>
      <c r="N4" s="6">
        <v>43922</v>
      </c>
      <c r="O4" s="6"/>
      <c r="P4" s="6"/>
      <c r="Q4" s="6">
        <v>43952</v>
      </c>
      <c r="R4" s="6"/>
      <c r="S4" s="6"/>
      <c r="T4" s="6">
        <v>43983</v>
      </c>
      <c r="U4" s="6"/>
      <c r="V4" s="6"/>
      <c r="W4" s="6">
        <v>44013</v>
      </c>
      <c r="X4" s="6"/>
      <c r="Y4" s="6"/>
      <c r="Z4" s="6">
        <v>44044</v>
      </c>
      <c r="AA4" s="6"/>
      <c r="AB4" s="6"/>
      <c r="AC4" s="6">
        <v>44075</v>
      </c>
      <c r="AD4" s="6"/>
      <c r="AE4" s="6"/>
      <c r="AF4" s="6">
        <v>44105</v>
      </c>
      <c r="AG4" s="6"/>
      <c r="AH4" s="6"/>
    </row>
    <row r="5" spans="2:37" s="7" customFormat="1" ht="30.75" customHeight="1" x14ac:dyDescent="0.15">
      <c r="B5" s="8"/>
      <c r="C5" s="9"/>
      <c r="D5" s="9" t="s">
        <v>0</v>
      </c>
      <c r="E5" s="10" t="s">
        <v>1</v>
      </c>
      <c r="F5" s="10" t="s">
        <v>2</v>
      </c>
      <c r="G5" s="11" t="s">
        <v>3</v>
      </c>
      <c r="H5" s="10" t="s">
        <v>1</v>
      </c>
      <c r="I5" s="10" t="s">
        <v>2</v>
      </c>
      <c r="J5" s="11" t="s">
        <v>3</v>
      </c>
      <c r="K5" s="10" t="s">
        <v>1</v>
      </c>
      <c r="L5" s="10" t="s">
        <v>2</v>
      </c>
      <c r="M5" s="11" t="s">
        <v>3</v>
      </c>
      <c r="N5" s="10" t="s">
        <v>1</v>
      </c>
      <c r="O5" s="10" t="s">
        <v>2</v>
      </c>
      <c r="P5" s="11" t="s">
        <v>3</v>
      </c>
      <c r="Q5" s="10" t="s">
        <v>1</v>
      </c>
      <c r="R5" s="10" t="s">
        <v>2</v>
      </c>
      <c r="S5" s="11" t="s">
        <v>3</v>
      </c>
      <c r="T5" s="10" t="s">
        <v>1</v>
      </c>
      <c r="U5" s="10" t="s">
        <v>2</v>
      </c>
      <c r="V5" s="11" t="s">
        <v>3</v>
      </c>
      <c r="W5" s="10" t="s">
        <v>1</v>
      </c>
      <c r="X5" s="10" t="s">
        <v>2</v>
      </c>
      <c r="Y5" s="11" t="s">
        <v>3</v>
      </c>
      <c r="Z5" s="10" t="s">
        <v>1</v>
      </c>
      <c r="AA5" s="10" t="s">
        <v>2</v>
      </c>
      <c r="AB5" s="11" t="s">
        <v>3</v>
      </c>
      <c r="AC5" s="10" t="s">
        <v>1</v>
      </c>
      <c r="AD5" s="10" t="s">
        <v>2</v>
      </c>
      <c r="AE5" s="11" t="s">
        <v>3</v>
      </c>
      <c r="AF5" s="10" t="s">
        <v>1</v>
      </c>
      <c r="AG5" s="10" t="s">
        <v>2</v>
      </c>
      <c r="AH5" s="11" t="s">
        <v>3</v>
      </c>
      <c r="AI5" s="12"/>
    </row>
    <row r="6" spans="2:37" ht="5" customHeight="1" x14ac:dyDescent="0.15">
      <c r="B6" s="13"/>
      <c r="C6" s="14"/>
      <c r="D6" s="14"/>
      <c r="G6" s="15"/>
      <c r="J6" s="15"/>
      <c r="M6" s="15"/>
      <c r="P6" s="15"/>
      <c r="S6" s="15"/>
      <c r="V6" s="15"/>
      <c r="Y6" s="15"/>
      <c r="AB6" s="15"/>
      <c r="AE6" s="15"/>
      <c r="AH6" s="15"/>
    </row>
    <row r="7" spans="2:37" ht="25.25" customHeight="1" x14ac:dyDescent="0.15">
      <c r="B7" s="13"/>
      <c r="C7" s="16" t="s">
        <v>4</v>
      </c>
      <c r="D7" s="16"/>
      <c r="F7" s="17">
        <f>INDEX(GMDPLData,MATCH($C7,ConsPLRef,0),MATCH(E$4,GMDPLMonth,0))</f>
        <v>3.35</v>
      </c>
      <c r="G7" s="18"/>
      <c r="H7" s="17"/>
      <c r="I7" s="17">
        <f>INDEX(GMDPLData,MATCH($C7,ConsPLRef,0),MATCH(H$4,GMDPLMonth,0))</f>
        <v>538.88</v>
      </c>
      <c r="J7" s="18"/>
      <c r="K7" s="17"/>
      <c r="L7" s="17">
        <f>INDEX(GMDPLData,MATCH($C7,ConsPLRef,0),MATCH(K$4,GMDPLMonth,0))</f>
        <v>676.56</v>
      </c>
      <c r="M7" s="18"/>
      <c r="N7" s="17"/>
      <c r="O7" s="17">
        <f>INDEX(GMDPLData,MATCH($C7,ConsPLRef,0),MATCH(N$4,GMDPLMonth,0))</f>
        <v>4000675.89</v>
      </c>
      <c r="P7" s="18"/>
      <c r="Q7" s="17"/>
      <c r="R7" s="17">
        <f>INDEX(GMDPLData,MATCH($C7,ConsPLRef,0),MATCH(Q$4,GMDPLMonth,0))</f>
        <v>482.96</v>
      </c>
      <c r="S7" s="18"/>
      <c r="T7" s="17"/>
      <c r="U7" s="17">
        <f>INDEX(GMDPLData,MATCH($C7,ConsPLRef,0),MATCH(T$4,GMDPLMonth,0))</f>
        <v>0</v>
      </c>
      <c r="V7" s="18"/>
      <c r="W7" s="17"/>
      <c r="X7" s="17">
        <f>INDEX(GMDPLData,MATCH($C7,ConsPLRef,0),MATCH(W$4,GMDPLMonth,0))</f>
        <v>0</v>
      </c>
      <c r="Y7" s="18"/>
      <c r="Z7" s="17"/>
      <c r="AA7" s="17">
        <f>INDEX(GMDPLData,MATCH($C7,ConsPLRef,0),MATCH(Z$4,GMDPLMonth,0))</f>
        <v>18935</v>
      </c>
      <c r="AB7" s="18"/>
      <c r="AC7" s="17"/>
      <c r="AD7" s="17">
        <f>INDEX(GMDPLData,MATCH($C7,ConsPLRef,0),MATCH(AC$4,GMDPLMonth,0))</f>
        <v>0</v>
      </c>
      <c r="AE7" s="18"/>
      <c r="AF7" s="17"/>
      <c r="AG7" s="17">
        <f>INDEX(GMDPLData,MATCH($C7,ConsPLRef,0),MATCH(AF$4,GMDPLMonth,0))</f>
        <v>191.66</v>
      </c>
      <c r="AH7" s="18"/>
      <c r="AK7" s="19"/>
    </row>
    <row r="8" spans="2:37" ht="7.25" customHeight="1" x14ac:dyDescent="0.15">
      <c r="B8" s="13"/>
      <c r="C8" s="20"/>
      <c r="D8" s="20"/>
      <c r="E8" s="21"/>
      <c r="F8" s="21"/>
      <c r="G8" s="22"/>
      <c r="H8" s="21"/>
      <c r="I8" s="21"/>
      <c r="J8" s="22"/>
      <c r="K8" s="21"/>
      <c r="L8" s="21"/>
      <c r="M8" s="22"/>
      <c r="N8" s="21"/>
      <c r="O8" s="21"/>
      <c r="P8" s="22"/>
      <c r="Q8" s="21"/>
      <c r="R8" s="21"/>
      <c r="S8" s="22"/>
      <c r="T8" s="21"/>
      <c r="U8" s="21"/>
      <c r="V8" s="22"/>
      <c r="W8" s="21"/>
      <c r="X8" s="21"/>
      <c r="Y8" s="22"/>
      <c r="Z8" s="21"/>
      <c r="AA8" s="21"/>
      <c r="AB8" s="22"/>
      <c r="AC8" s="21"/>
      <c r="AD8" s="21"/>
      <c r="AE8" s="22"/>
      <c r="AF8" s="21"/>
      <c r="AG8" s="21"/>
      <c r="AH8" s="22"/>
    </row>
    <row r="9" spans="2:37" ht="25.25" customHeight="1" x14ac:dyDescent="0.15">
      <c r="B9" s="13"/>
      <c r="C9" s="14" t="s">
        <v>5</v>
      </c>
      <c r="D9" s="14"/>
      <c r="E9" s="23"/>
      <c r="F9" s="23">
        <f>INDEX(GMDPLData,MATCH($C9,ConsPLRef,0),MATCH(E$4,GMDPLMonth,0))</f>
        <v>0</v>
      </c>
      <c r="G9" s="24"/>
      <c r="H9" s="23"/>
      <c r="I9" s="23">
        <f>INDEX(GMDPLData,MATCH($C9,ConsPLRef,0),MATCH(H$4,GMDPLMonth,0))</f>
        <v>0</v>
      </c>
      <c r="J9" s="24"/>
      <c r="K9" s="23"/>
      <c r="L9" s="23">
        <f>INDEX(GMDPLData,MATCH($C9,ConsPLRef,0),MATCH(K$4,GMDPLMonth,0))</f>
        <v>0</v>
      </c>
      <c r="M9" s="24"/>
      <c r="N9" s="23"/>
      <c r="O9" s="23">
        <f>INDEX(GMDPLData,MATCH($C9,ConsPLRef,0),MATCH(N$4,GMDPLMonth,0))</f>
        <v>2000000</v>
      </c>
      <c r="P9" s="24"/>
      <c r="Q9" s="23"/>
      <c r="R9" s="23">
        <f>INDEX(GMDPLData,MATCH($C9,ConsPLRef,0),MATCH(Q$4,GMDPLMonth,0))</f>
        <v>0</v>
      </c>
      <c r="S9" s="24"/>
      <c r="T9" s="23"/>
      <c r="U9" s="23">
        <f>INDEX(GMDPLData,MATCH($C9,ConsPLRef,0),MATCH(T$4,GMDPLMonth,0))</f>
        <v>9778.7900000000009</v>
      </c>
      <c r="V9" s="24"/>
      <c r="W9" s="23"/>
      <c r="X9" s="23">
        <f>INDEX(GMDPLData,MATCH($C9,ConsPLRef,0),MATCH(W$4,GMDPLMonth,0))</f>
        <v>30749.18</v>
      </c>
      <c r="Y9" s="24"/>
      <c r="Z9" s="23"/>
      <c r="AA9" s="23">
        <f>INDEX(GMDPLData,MATCH($C9,ConsPLRef,0),MATCH(Z$4,GMDPLMonth,0))</f>
        <v>9568.7900000000009</v>
      </c>
      <c r="AB9" s="24"/>
      <c r="AC9" s="23"/>
      <c r="AD9" s="23">
        <f>INDEX(GMDPLData,MATCH($C9,ConsPLRef,0),MATCH(AC$4,GMDPLMonth,0))</f>
        <v>14579.7</v>
      </c>
      <c r="AE9" s="24"/>
      <c r="AF9" s="23"/>
      <c r="AG9" s="23">
        <f>INDEX(GMDPLData,MATCH($C9,ConsPLRef,0),MATCH(AF$4,GMDPLMonth,0))</f>
        <v>22920.43</v>
      </c>
      <c r="AH9" s="24"/>
      <c r="AK9" s="25"/>
    </row>
    <row r="10" spans="2:37" ht="25.25" customHeight="1" x14ac:dyDescent="0.15">
      <c r="B10" s="13"/>
      <c r="C10" s="16" t="s">
        <v>6</v>
      </c>
      <c r="D10" s="16"/>
      <c r="E10" s="26"/>
      <c r="F10" s="26"/>
      <c r="G10" s="27"/>
      <c r="H10" s="26"/>
      <c r="I10" s="26"/>
      <c r="J10" s="27"/>
      <c r="K10" s="26"/>
      <c r="L10" s="26"/>
      <c r="M10" s="27"/>
      <c r="N10" s="26"/>
      <c r="O10" s="26"/>
      <c r="P10" s="27"/>
      <c r="Q10" s="26"/>
      <c r="R10" s="26"/>
      <c r="S10" s="27"/>
      <c r="T10" s="26"/>
      <c r="U10" s="26"/>
      <c r="V10" s="27"/>
      <c r="W10" s="26"/>
      <c r="X10" s="26"/>
      <c r="Y10" s="27"/>
      <c r="Z10" s="26"/>
      <c r="AA10" s="26"/>
      <c r="AB10" s="27"/>
      <c r="AC10" s="26"/>
      <c r="AD10" s="26"/>
      <c r="AE10" s="27"/>
      <c r="AF10" s="26"/>
      <c r="AG10" s="26"/>
      <c r="AH10" s="27"/>
    </row>
    <row r="11" spans="2:37" ht="25.25" customHeight="1" x14ac:dyDescent="0.15">
      <c r="B11" s="13"/>
      <c r="C11" s="14" t="s">
        <v>7</v>
      </c>
      <c r="D11" s="14"/>
      <c r="E11" s="28"/>
      <c r="F11" s="28"/>
      <c r="G11" s="29"/>
      <c r="H11" s="28"/>
      <c r="I11" s="28"/>
      <c r="J11" s="29"/>
      <c r="K11" s="28"/>
      <c r="L11" s="28"/>
      <c r="M11" s="29"/>
      <c r="N11" s="28"/>
      <c r="O11" s="28"/>
      <c r="P11" s="29"/>
      <c r="Q11" s="28"/>
      <c r="R11" s="28"/>
      <c r="S11" s="29"/>
      <c r="T11" s="28"/>
      <c r="U11" s="28"/>
      <c r="V11" s="29"/>
      <c r="W11" s="28"/>
      <c r="X11" s="28"/>
      <c r="Y11" s="29"/>
      <c r="Z11" s="28"/>
      <c r="AA11" s="28"/>
      <c r="AB11" s="29"/>
      <c r="AC11" s="28"/>
      <c r="AD11" s="28"/>
      <c r="AE11" s="29"/>
      <c r="AF11" s="28"/>
      <c r="AG11" s="28"/>
      <c r="AH11" s="29"/>
    </row>
    <row r="12" spans="2:37" ht="25.25" customHeight="1" x14ac:dyDescent="0.15">
      <c r="B12" s="13"/>
      <c r="C12" s="30" t="s">
        <v>8</v>
      </c>
      <c r="D12" s="31"/>
      <c r="E12" s="28"/>
      <c r="F12" s="28"/>
      <c r="G12" s="29"/>
      <c r="H12" s="28"/>
      <c r="I12" s="28"/>
      <c r="J12" s="29"/>
      <c r="K12" s="28"/>
      <c r="L12" s="28"/>
      <c r="M12" s="29"/>
      <c r="N12" s="28"/>
      <c r="O12" s="28"/>
      <c r="P12" s="29"/>
      <c r="Q12" s="28"/>
      <c r="R12" s="28"/>
      <c r="S12" s="29"/>
      <c r="T12" s="28"/>
      <c r="U12" s="28"/>
      <c r="V12" s="29"/>
      <c r="W12" s="28"/>
      <c r="X12" s="28"/>
      <c r="Y12" s="29"/>
      <c r="Z12" s="28"/>
      <c r="AA12" s="28"/>
      <c r="AB12" s="29"/>
      <c r="AC12" s="28"/>
      <c r="AD12" s="28"/>
      <c r="AE12" s="29"/>
      <c r="AF12" s="28"/>
      <c r="AG12" s="28"/>
      <c r="AH12" s="29"/>
      <c r="AI12" s="32"/>
    </row>
    <row r="13" spans="2:37" ht="25.25" customHeight="1" x14ac:dyDescent="0.15">
      <c r="B13" s="13"/>
      <c r="C13" s="30" t="s">
        <v>9</v>
      </c>
      <c r="D13" s="31"/>
      <c r="E13" s="33"/>
      <c r="F13" s="33"/>
      <c r="G13" s="34"/>
      <c r="H13" s="33"/>
      <c r="I13" s="33"/>
      <c r="J13" s="34"/>
      <c r="K13" s="33"/>
      <c r="L13" s="33"/>
      <c r="M13" s="34"/>
      <c r="N13" s="33"/>
      <c r="O13" s="33"/>
      <c r="P13" s="34"/>
      <c r="Q13" s="33"/>
      <c r="R13" s="33"/>
      <c r="S13" s="34"/>
      <c r="T13" s="33"/>
      <c r="U13" s="33"/>
      <c r="V13" s="34"/>
      <c r="W13" s="33"/>
      <c r="X13" s="33"/>
      <c r="Y13" s="34"/>
      <c r="Z13" s="33"/>
      <c r="AA13" s="33"/>
      <c r="AB13" s="34"/>
      <c r="AC13" s="33"/>
      <c r="AD13" s="33"/>
      <c r="AE13" s="34"/>
      <c r="AF13" s="33"/>
      <c r="AG13" s="33"/>
      <c r="AH13" s="34"/>
      <c r="AI13" s="32"/>
    </row>
    <row r="14" spans="2:37" ht="25.25" customHeight="1" x14ac:dyDescent="0.15">
      <c r="B14" s="13"/>
      <c r="C14" s="35" t="s">
        <v>10</v>
      </c>
      <c r="D14" s="35"/>
      <c r="E14" s="36"/>
      <c r="F14" s="36"/>
      <c r="G14" s="37"/>
      <c r="H14" s="36"/>
      <c r="I14" s="36"/>
      <c r="J14" s="37"/>
      <c r="K14" s="36"/>
      <c r="L14" s="36"/>
      <c r="M14" s="37"/>
      <c r="N14" s="36"/>
      <c r="O14" s="36"/>
      <c r="P14" s="37"/>
      <c r="Q14" s="36"/>
      <c r="R14" s="36"/>
      <c r="S14" s="37"/>
      <c r="T14" s="36"/>
      <c r="U14" s="36"/>
      <c r="V14" s="37"/>
      <c r="W14" s="36"/>
      <c r="X14" s="36"/>
      <c r="Y14" s="37"/>
      <c r="Z14" s="36"/>
      <c r="AA14" s="36"/>
      <c r="AB14" s="37"/>
      <c r="AC14" s="36"/>
      <c r="AD14" s="36"/>
      <c r="AE14" s="37"/>
      <c r="AF14" s="36"/>
      <c r="AG14" s="36"/>
      <c r="AH14" s="37"/>
      <c r="AK14" s="19"/>
    </row>
    <row r="15" spans="2:37" ht="14" x14ac:dyDescent="0.15"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</row>
  </sheetData>
  <printOptions horizontalCentered="1"/>
  <pageMargins left="0.2" right="0.2" top="0.51" bottom="0.56999999999999995" header="0.3" footer="0.3"/>
  <pageSetup paperSize="17" scale="67" orientation="landscape" r:id="rId1"/>
  <headerFooter>
    <oddFooter>&amp;CPROJECTED FINANCIAL STATEMENTS - ACTUAL RESULTS MAY VARY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FBAD6-3121-4145-8C6F-CC2AFD3C83D7}">
  <dimension ref="A1:M38"/>
  <sheetViews>
    <sheetView zoomScale="130" zoomScaleNormal="130" workbookViewId="0">
      <selection activeCell="C8" sqref="C8"/>
    </sheetView>
  </sheetViews>
  <sheetFormatPr baseColWidth="10" defaultColWidth="8.796875" defaultRowHeight="15" x14ac:dyDescent="0.2"/>
  <cols>
    <col min="1" max="2" width="31.19921875" style="40" customWidth="1"/>
    <col min="3" max="3" width="12.19921875" style="40" customWidth="1"/>
    <col min="4" max="4" width="11.19921875" style="40" customWidth="1"/>
    <col min="5" max="5" width="9.3984375" style="40" customWidth="1"/>
    <col min="6" max="6" width="13.19921875" style="40" customWidth="1"/>
    <col min="7" max="7" width="11.19921875" style="40" customWidth="1"/>
    <col min="8" max="8" width="12.19921875" style="40" customWidth="1"/>
    <col min="9" max="9" width="13.19921875" style="40" customWidth="1"/>
    <col min="10" max="10" width="10.3984375" style="40" customWidth="1"/>
    <col min="11" max="12" width="12.19921875" style="40" customWidth="1"/>
    <col min="13" max="13" width="13.19921875" style="40" customWidth="1"/>
    <col min="14" max="16384" width="8.796875" style="40"/>
  </cols>
  <sheetData>
    <row r="1" spans="1:13" ht="18" x14ac:dyDescent="0.2">
      <c r="A1" s="39"/>
      <c r="B1" s="39"/>
    </row>
    <row r="2" spans="1:13" ht="18" x14ac:dyDescent="0.2">
      <c r="A2" s="39"/>
      <c r="B2" s="39"/>
    </row>
    <row r="3" spans="1:13" x14ac:dyDescent="0.2">
      <c r="A3" s="41"/>
      <c r="B3" s="41"/>
    </row>
    <row r="5" spans="1:13" ht="18" x14ac:dyDescent="0.2">
      <c r="A5" s="42"/>
      <c r="B5" s="42" t="s">
        <v>11</v>
      </c>
      <c r="C5" s="43">
        <v>43831</v>
      </c>
      <c r="D5" s="43">
        <v>43862</v>
      </c>
      <c r="E5" s="43">
        <v>43891</v>
      </c>
      <c r="F5" s="43">
        <v>43922</v>
      </c>
      <c r="G5" s="43">
        <v>43952</v>
      </c>
      <c r="H5" s="43">
        <v>43983</v>
      </c>
      <c r="I5" s="43">
        <v>44013</v>
      </c>
      <c r="J5" s="43">
        <v>44044</v>
      </c>
      <c r="K5" s="43">
        <v>44075</v>
      </c>
      <c r="L5" s="43">
        <v>44105</v>
      </c>
      <c r="M5" s="44" t="s">
        <v>12</v>
      </c>
    </row>
    <row r="6" spans="1:13" x14ac:dyDescent="0.2">
      <c r="A6" s="45" t="s">
        <v>13</v>
      </c>
      <c r="B6" s="45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</row>
    <row r="7" spans="1:13" x14ac:dyDescent="0.2">
      <c r="A7" s="45" t="s">
        <v>14</v>
      </c>
      <c r="B7" s="45"/>
      <c r="C7" s="47">
        <v>3.35</v>
      </c>
      <c r="D7" s="47">
        <v>538.88</v>
      </c>
      <c r="E7" s="47">
        <v>676.56</v>
      </c>
      <c r="F7" s="47">
        <v>4000675.89</v>
      </c>
      <c r="G7" s="47">
        <v>482.96</v>
      </c>
      <c r="H7" s="48"/>
      <c r="I7" s="48"/>
      <c r="J7" s="47">
        <v>18935</v>
      </c>
      <c r="K7" s="48"/>
      <c r="L7" s="47">
        <v>191.66</v>
      </c>
      <c r="M7" s="47">
        <f>(((((((((C7)+(D7))+(E7))+(F7))+(G7))+(H7))+(I7))+(J7))+(K7))+(L7)</f>
        <v>4021504.3000000003</v>
      </c>
    </row>
    <row r="8" spans="1:13" x14ac:dyDescent="0.2">
      <c r="A8" s="45" t="s">
        <v>15</v>
      </c>
      <c r="B8" s="45" t="s">
        <v>4</v>
      </c>
      <c r="C8" s="49">
        <f t="shared" ref="C8:L8" si="0">C7</f>
        <v>3.35</v>
      </c>
      <c r="D8" s="49">
        <f t="shared" si="0"/>
        <v>538.88</v>
      </c>
      <c r="E8" s="49">
        <f t="shared" si="0"/>
        <v>676.56</v>
      </c>
      <c r="F8" s="49">
        <f t="shared" si="0"/>
        <v>4000675.89</v>
      </c>
      <c r="G8" s="49">
        <f t="shared" si="0"/>
        <v>482.96</v>
      </c>
      <c r="H8" s="49">
        <f t="shared" si="0"/>
        <v>0</v>
      </c>
      <c r="I8" s="49">
        <f t="shared" si="0"/>
        <v>0</v>
      </c>
      <c r="J8" s="49">
        <f t="shared" si="0"/>
        <v>18935</v>
      </c>
      <c r="K8" s="49">
        <f t="shared" si="0"/>
        <v>0</v>
      </c>
      <c r="L8" s="49">
        <f t="shared" si="0"/>
        <v>191.66</v>
      </c>
      <c r="M8" s="49">
        <f>(((((((((C8)+(D8))+(E8))+(F8))+(G8))+(H8))+(I8))+(J8))+(K8))+(L8)</f>
        <v>4021504.3000000003</v>
      </c>
    </row>
    <row r="9" spans="1:13" x14ac:dyDescent="0.2">
      <c r="A9" s="45" t="s">
        <v>5</v>
      </c>
      <c r="B9" s="45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</row>
    <row r="10" spans="1:13" x14ac:dyDescent="0.2">
      <c r="A10" s="45" t="s">
        <v>16</v>
      </c>
      <c r="B10" s="45"/>
      <c r="C10" s="48"/>
      <c r="D10" s="48"/>
      <c r="E10" s="48"/>
      <c r="F10" s="47">
        <f>2000000</f>
        <v>2000000</v>
      </c>
      <c r="G10" s="48"/>
      <c r="H10" s="48"/>
      <c r="I10" s="48"/>
      <c r="J10" s="48"/>
      <c r="K10" s="48"/>
      <c r="L10" s="48"/>
      <c r="M10" s="47">
        <f>(((((((((C10)+(D10))+(E10))+(F10))+(G10))+(H10))+(I10))+(J10))+(K10))+(L10)</f>
        <v>2000000</v>
      </c>
    </row>
    <row r="11" spans="1:13" x14ac:dyDescent="0.2">
      <c r="A11" s="45" t="s">
        <v>17</v>
      </c>
      <c r="B11" s="45"/>
      <c r="C11" s="48"/>
      <c r="D11" s="48"/>
      <c r="E11" s="48"/>
      <c r="F11" s="48"/>
      <c r="G11" s="48"/>
      <c r="H11" s="47">
        <f>1986.53</f>
        <v>1986.53</v>
      </c>
      <c r="I11" s="47">
        <f>20171.58</f>
        <v>20171.580000000002</v>
      </c>
      <c r="J11" s="47">
        <f>4148.21</f>
        <v>4148.21</v>
      </c>
      <c r="K11" s="47">
        <f>522.78</f>
        <v>522.78</v>
      </c>
      <c r="L11" s="47">
        <f>7364.24</f>
        <v>7364.24</v>
      </c>
      <c r="M11" s="47">
        <f>(((((((((C11)+(D11))+(E11))+(F11))+(G11))+(H11))+(I11))+(J11))+(K11))+(L11)</f>
        <v>34193.339999999997</v>
      </c>
    </row>
    <row r="12" spans="1:13" x14ac:dyDescent="0.2">
      <c r="A12" s="45" t="s">
        <v>18</v>
      </c>
      <c r="B12" s="45"/>
      <c r="C12" s="48"/>
      <c r="D12" s="48"/>
      <c r="E12" s="48"/>
      <c r="F12" s="48"/>
      <c r="G12" s="48"/>
      <c r="H12" s="47">
        <f>7792.26</f>
        <v>7792.26</v>
      </c>
      <c r="I12" s="47">
        <f>10577.6</f>
        <v>10577.6</v>
      </c>
      <c r="J12" s="47">
        <f>5420.58</f>
        <v>5420.58</v>
      </c>
      <c r="K12" s="47">
        <f>14056.92</f>
        <v>14056.92</v>
      </c>
      <c r="L12" s="47">
        <f>15556.19</f>
        <v>15556.19</v>
      </c>
      <c r="M12" s="47">
        <f>(((((((((C12)+(D12))+(E12))+(F12))+(G12))+(H12))+(I12))+(J12))+(K12))+(L12)</f>
        <v>53403.55</v>
      </c>
    </row>
    <row r="13" spans="1:13" x14ac:dyDescent="0.2">
      <c r="A13" s="45" t="s">
        <v>19</v>
      </c>
      <c r="B13" s="45" t="s">
        <v>5</v>
      </c>
      <c r="C13" s="49">
        <f t="shared" ref="C13:L13" si="1">((C10)+(C11))+(C12)</f>
        <v>0</v>
      </c>
      <c r="D13" s="49">
        <f t="shared" si="1"/>
        <v>0</v>
      </c>
      <c r="E13" s="49">
        <f t="shared" si="1"/>
        <v>0</v>
      </c>
      <c r="F13" s="49">
        <f t="shared" si="1"/>
        <v>2000000</v>
      </c>
      <c r="G13" s="49">
        <f t="shared" si="1"/>
        <v>0</v>
      </c>
      <c r="H13" s="49">
        <f t="shared" si="1"/>
        <v>9778.7900000000009</v>
      </c>
      <c r="I13" s="49">
        <f t="shared" si="1"/>
        <v>30749.18</v>
      </c>
      <c r="J13" s="49">
        <f t="shared" si="1"/>
        <v>9568.7900000000009</v>
      </c>
      <c r="K13" s="49">
        <f t="shared" si="1"/>
        <v>14579.7</v>
      </c>
      <c r="L13" s="49">
        <f t="shared" si="1"/>
        <v>22920.43</v>
      </c>
      <c r="M13" s="49">
        <f>(((((((((C13)+(D13))+(E13))+(F13))+(G13))+(H13))+(I13))+(J13))+(K13))+(L13)</f>
        <v>2087596.89</v>
      </c>
    </row>
    <row r="14" spans="1:13" x14ac:dyDescent="0.2">
      <c r="A14" s="45" t="s">
        <v>6</v>
      </c>
      <c r="B14" s="45"/>
      <c r="C14" s="49">
        <f t="shared" ref="C14:L14" si="2">(C8)-(C13)</f>
        <v>3.35</v>
      </c>
      <c r="D14" s="49">
        <f t="shared" si="2"/>
        <v>538.88</v>
      </c>
      <c r="E14" s="49">
        <f t="shared" si="2"/>
        <v>676.56</v>
      </c>
      <c r="F14" s="49">
        <f t="shared" si="2"/>
        <v>2000675.8900000001</v>
      </c>
      <c r="G14" s="49">
        <f t="shared" si="2"/>
        <v>482.96</v>
      </c>
      <c r="H14" s="49">
        <f t="shared" si="2"/>
        <v>-9778.7900000000009</v>
      </c>
      <c r="I14" s="49">
        <f t="shared" si="2"/>
        <v>-30749.18</v>
      </c>
      <c r="J14" s="49">
        <f t="shared" si="2"/>
        <v>9366.2099999999991</v>
      </c>
      <c r="K14" s="49">
        <f t="shared" si="2"/>
        <v>-14579.7</v>
      </c>
      <c r="L14" s="49">
        <f t="shared" si="2"/>
        <v>-22728.77</v>
      </c>
      <c r="M14" s="49">
        <f>(((((((((C14)+(D14))+(E14))+(F14))+(G14))+(H14))+(I14))+(J14))+(K14))+(L14)</f>
        <v>1933907.4100000001</v>
      </c>
    </row>
    <row r="15" spans="1:13" x14ac:dyDescent="0.2">
      <c r="A15" s="45" t="s">
        <v>20</v>
      </c>
      <c r="B15" s="45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</row>
    <row r="16" spans="1:13" x14ac:dyDescent="0.2">
      <c r="A16" s="45" t="s">
        <v>21</v>
      </c>
      <c r="B16" s="45"/>
      <c r="C16" s="47">
        <f>6786.99</f>
        <v>6786.99</v>
      </c>
      <c r="D16" s="47">
        <f>4508.6</f>
        <v>4508.6000000000004</v>
      </c>
      <c r="E16" s="47">
        <f>824.75</f>
        <v>824.75</v>
      </c>
      <c r="F16" s="47">
        <f>11502.36</f>
        <v>11502.36</v>
      </c>
      <c r="G16" s="47">
        <f>484.09</f>
        <v>484.09</v>
      </c>
      <c r="H16" s="47">
        <f>464.93</f>
        <v>464.93</v>
      </c>
      <c r="I16" s="47">
        <f>486.32</f>
        <v>486.32</v>
      </c>
      <c r="J16" s="47">
        <f>323.28</f>
        <v>323.27999999999997</v>
      </c>
      <c r="K16" s="48"/>
      <c r="L16" s="47">
        <f>1233</f>
        <v>1233</v>
      </c>
      <c r="M16" s="47">
        <f t="shared" ref="M16:M26" si="3">(((((((((C16)+(D16))+(E16))+(F16))+(G16))+(H16))+(I16))+(J16))+(K16))+(L16)</f>
        <v>26614.32</v>
      </c>
    </row>
    <row r="17" spans="1:13" x14ac:dyDescent="0.2">
      <c r="A17" s="45" t="s">
        <v>23</v>
      </c>
      <c r="B17" s="45"/>
      <c r="C17" s="48"/>
      <c r="D17" s="48"/>
      <c r="E17" s="47">
        <f>20</f>
        <v>20</v>
      </c>
      <c r="F17" s="47">
        <f>90</f>
        <v>90</v>
      </c>
      <c r="G17" s="47">
        <f>1255</f>
        <v>1255</v>
      </c>
      <c r="H17" s="48"/>
      <c r="I17" s="47">
        <f>180</f>
        <v>180</v>
      </c>
      <c r="J17" s="48"/>
      <c r="K17" s="47">
        <f>120</f>
        <v>120</v>
      </c>
      <c r="L17" s="48"/>
      <c r="M17" s="47">
        <f t="shared" si="3"/>
        <v>1665</v>
      </c>
    </row>
    <row r="18" spans="1:13" x14ac:dyDescent="0.2">
      <c r="A18" s="45" t="s">
        <v>24</v>
      </c>
      <c r="B18" s="45"/>
      <c r="C18" s="48"/>
      <c r="D18" s="48"/>
      <c r="E18" s="48"/>
      <c r="F18" s="48"/>
      <c r="G18" s="48"/>
      <c r="H18" s="48"/>
      <c r="I18" s="47">
        <f>170000</f>
        <v>170000</v>
      </c>
      <c r="J18" s="48"/>
      <c r="K18" s="48"/>
      <c r="L18" s="48"/>
      <c r="M18" s="47">
        <f t="shared" si="3"/>
        <v>170000</v>
      </c>
    </row>
    <row r="19" spans="1:13" x14ac:dyDescent="0.2">
      <c r="A19" s="45" t="s">
        <v>25</v>
      </c>
      <c r="B19" s="45"/>
      <c r="C19" s="47">
        <f>911.77</f>
        <v>911.77</v>
      </c>
      <c r="D19" s="48"/>
      <c r="E19" s="48"/>
      <c r="F19" s="48"/>
      <c r="G19" s="48"/>
      <c r="H19" s="47">
        <f>100</f>
        <v>100</v>
      </c>
      <c r="I19" s="47">
        <f>1500</f>
        <v>1500</v>
      </c>
      <c r="J19" s="48"/>
      <c r="K19" s="48"/>
      <c r="L19" s="48"/>
      <c r="M19" s="47">
        <f t="shared" si="3"/>
        <v>2511.77</v>
      </c>
    </row>
    <row r="20" spans="1:13" x14ac:dyDescent="0.2">
      <c r="A20" s="45" t="s">
        <v>26</v>
      </c>
      <c r="B20" s="45"/>
      <c r="C20" s="47">
        <f>2387.5</f>
        <v>2387.5</v>
      </c>
      <c r="D20" s="47">
        <f>341.1</f>
        <v>341.1</v>
      </c>
      <c r="E20" s="48"/>
      <c r="F20" s="48"/>
      <c r="G20" s="48"/>
      <c r="H20" s="47">
        <f>4790</f>
        <v>4790</v>
      </c>
      <c r="I20" s="47">
        <f>7723.5</f>
        <v>7723.5</v>
      </c>
      <c r="J20" s="48"/>
      <c r="K20" s="48"/>
      <c r="L20" s="47">
        <f>3400</f>
        <v>3400</v>
      </c>
      <c r="M20" s="47">
        <f t="shared" si="3"/>
        <v>18642.099999999999</v>
      </c>
    </row>
    <row r="21" spans="1:13" x14ac:dyDescent="0.2">
      <c r="A21" s="45" t="s">
        <v>27</v>
      </c>
      <c r="B21" s="45"/>
      <c r="C21" s="47">
        <f>109.95</f>
        <v>109.95</v>
      </c>
      <c r="D21" s="47">
        <f>3</f>
        <v>3</v>
      </c>
      <c r="E21" s="48"/>
      <c r="F21" s="48"/>
      <c r="G21" s="47">
        <f>80</f>
        <v>80</v>
      </c>
      <c r="H21" s="47">
        <f>40</f>
        <v>40</v>
      </c>
      <c r="I21" s="47">
        <f>40</f>
        <v>40</v>
      </c>
      <c r="J21" s="47">
        <f>40</f>
        <v>40</v>
      </c>
      <c r="K21" s="47">
        <f>40</f>
        <v>40</v>
      </c>
      <c r="L21" s="47">
        <f>460</f>
        <v>460</v>
      </c>
      <c r="M21" s="47">
        <f t="shared" si="3"/>
        <v>812.95</v>
      </c>
    </row>
    <row r="22" spans="1:13" x14ac:dyDescent="0.2">
      <c r="A22" s="45" t="s">
        <v>28</v>
      </c>
      <c r="B22" s="45"/>
      <c r="C22" s="48"/>
      <c r="D22" s="48"/>
      <c r="E22" s="48"/>
      <c r="F22" s="48"/>
      <c r="G22" s="48"/>
      <c r="H22" s="48"/>
      <c r="I22" s="48"/>
      <c r="J22" s="48"/>
      <c r="K22" s="47">
        <f>17.64</f>
        <v>17.64</v>
      </c>
      <c r="L22" s="47">
        <f>1356.47</f>
        <v>1356.47</v>
      </c>
      <c r="M22" s="47">
        <f t="shared" si="3"/>
        <v>1374.1100000000001</v>
      </c>
    </row>
    <row r="23" spans="1:13" x14ac:dyDescent="0.2">
      <c r="A23" s="45" t="s">
        <v>29</v>
      </c>
      <c r="B23" s="45"/>
      <c r="C23" s="48"/>
      <c r="D23" s="48"/>
      <c r="E23" s="48"/>
      <c r="F23" s="48"/>
      <c r="G23" s="48"/>
      <c r="H23" s="48"/>
      <c r="I23" s="47">
        <f>507.28</f>
        <v>507.28</v>
      </c>
      <c r="J23" s="48"/>
      <c r="K23" s="48"/>
      <c r="L23" s="48"/>
      <c r="M23" s="47">
        <f t="shared" si="3"/>
        <v>507.28</v>
      </c>
    </row>
    <row r="24" spans="1:13" x14ac:dyDescent="0.2">
      <c r="A24" s="45" t="s">
        <v>30</v>
      </c>
      <c r="B24" s="45"/>
      <c r="C24" s="48"/>
      <c r="D24" s="48"/>
      <c r="E24" s="48"/>
      <c r="F24" s="47">
        <f>120</f>
        <v>120</v>
      </c>
      <c r="G24" s="47">
        <f>40</f>
        <v>40</v>
      </c>
      <c r="H24" s="48"/>
      <c r="I24" s="48"/>
      <c r="J24" s="48"/>
      <c r="K24" s="47">
        <f>440</f>
        <v>440</v>
      </c>
      <c r="L24" s="48"/>
      <c r="M24" s="47">
        <f t="shared" si="3"/>
        <v>600</v>
      </c>
    </row>
    <row r="25" spans="1:13" x14ac:dyDescent="0.2">
      <c r="A25" s="45" t="s">
        <v>31</v>
      </c>
      <c r="B25" s="45"/>
      <c r="C25" s="49">
        <f t="shared" ref="C25:L25" si="4">((((((((C16)+(C17))+(C18))+(C19))+(C20))+(C21))+(C22))+(C23))+(C24)</f>
        <v>10196.210000000001</v>
      </c>
      <c r="D25" s="49">
        <f t="shared" si="4"/>
        <v>4852.7000000000007</v>
      </c>
      <c r="E25" s="49">
        <f t="shared" si="4"/>
        <v>844.75</v>
      </c>
      <c r="F25" s="49">
        <f t="shared" si="4"/>
        <v>11712.36</v>
      </c>
      <c r="G25" s="49">
        <f t="shared" si="4"/>
        <v>1859.09</v>
      </c>
      <c r="H25" s="49">
        <f t="shared" si="4"/>
        <v>5394.93</v>
      </c>
      <c r="I25" s="49">
        <f t="shared" si="4"/>
        <v>180437.1</v>
      </c>
      <c r="J25" s="49">
        <f t="shared" si="4"/>
        <v>363.28</v>
      </c>
      <c r="K25" s="49">
        <f t="shared" si="4"/>
        <v>617.64</v>
      </c>
      <c r="L25" s="49">
        <f t="shared" si="4"/>
        <v>6449.47</v>
      </c>
      <c r="M25" s="49">
        <f t="shared" si="3"/>
        <v>222727.53000000003</v>
      </c>
    </row>
    <row r="26" spans="1:13" x14ac:dyDescent="0.2">
      <c r="A26" s="45" t="s">
        <v>32</v>
      </c>
      <c r="B26" s="45" t="s">
        <v>22</v>
      </c>
      <c r="C26" s="49">
        <f t="shared" ref="C26:L26" si="5">(C14)-(C25)</f>
        <v>-10192.86</v>
      </c>
      <c r="D26" s="49">
        <f t="shared" si="5"/>
        <v>-4313.8200000000006</v>
      </c>
      <c r="E26" s="49">
        <f t="shared" si="5"/>
        <v>-168.19000000000005</v>
      </c>
      <c r="F26" s="49">
        <f t="shared" si="5"/>
        <v>1988963.53</v>
      </c>
      <c r="G26" s="49">
        <f t="shared" si="5"/>
        <v>-1376.1299999999999</v>
      </c>
      <c r="H26" s="49">
        <f t="shared" si="5"/>
        <v>-15173.720000000001</v>
      </c>
      <c r="I26" s="49">
        <f t="shared" si="5"/>
        <v>-211186.28</v>
      </c>
      <c r="J26" s="49">
        <f t="shared" si="5"/>
        <v>9002.9299999999985</v>
      </c>
      <c r="K26" s="49">
        <f t="shared" si="5"/>
        <v>-15197.34</v>
      </c>
      <c r="L26" s="49">
        <f t="shared" si="5"/>
        <v>-29178.240000000002</v>
      </c>
      <c r="M26" s="49">
        <f t="shared" si="3"/>
        <v>1711179.88</v>
      </c>
    </row>
    <row r="27" spans="1:13" x14ac:dyDescent="0.2">
      <c r="A27" s="45" t="s">
        <v>33</v>
      </c>
      <c r="B27" s="45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</row>
    <row r="28" spans="1:13" x14ac:dyDescent="0.2">
      <c r="A28" s="45" t="s">
        <v>34</v>
      </c>
      <c r="B28" s="45" t="s">
        <v>9</v>
      </c>
      <c r="C28" s="47">
        <f>2500.9</f>
        <v>2500.9</v>
      </c>
      <c r="D28" s="47">
        <f>2345.78</f>
        <v>2345.7800000000002</v>
      </c>
      <c r="E28" s="47">
        <f>1872.07</f>
        <v>1872.07</v>
      </c>
      <c r="F28" s="47">
        <f>2128.49</f>
        <v>2128.4899999999998</v>
      </c>
      <c r="G28" s="48"/>
      <c r="H28" s="48"/>
      <c r="I28" s="48"/>
      <c r="J28" s="48"/>
      <c r="K28" s="48"/>
      <c r="L28" s="48"/>
      <c r="M28" s="47">
        <f>(((((((((C28)+(D28))+(E28))+(F28))+(G28))+(H28))+(I28))+(J28))+(K28))+(L28)</f>
        <v>8847.24</v>
      </c>
    </row>
    <row r="29" spans="1:13" x14ac:dyDescent="0.2">
      <c r="A29" s="45" t="s">
        <v>35</v>
      </c>
      <c r="B29" s="45"/>
      <c r="C29" s="49">
        <f t="shared" ref="C29:L29" si="6">C28</f>
        <v>2500.9</v>
      </c>
      <c r="D29" s="49">
        <f t="shared" si="6"/>
        <v>2345.7800000000002</v>
      </c>
      <c r="E29" s="49">
        <f t="shared" si="6"/>
        <v>1872.07</v>
      </c>
      <c r="F29" s="49">
        <f t="shared" si="6"/>
        <v>2128.4899999999998</v>
      </c>
      <c r="G29" s="49">
        <f t="shared" si="6"/>
        <v>0</v>
      </c>
      <c r="H29" s="49">
        <f t="shared" si="6"/>
        <v>0</v>
      </c>
      <c r="I29" s="49">
        <f t="shared" si="6"/>
        <v>0</v>
      </c>
      <c r="J29" s="49">
        <f t="shared" si="6"/>
        <v>0</v>
      </c>
      <c r="K29" s="49">
        <f t="shared" si="6"/>
        <v>0</v>
      </c>
      <c r="L29" s="49">
        <f t="shared" si="6"/>
        <v>0</v>
      </c>
      <c r="M29" s="49">
        <f>(((((((((C29)+(D29))+(E29))+(F29))+(G29))+(H29))+(I29))+(J29))+(K29))+(L29)</f>
        <v>8847.24</v>
      </c>
    </row>
    <row r="30" spans="1:13" x14ac:dyDescent="0.2">
      <c r="A30" s="45" t="s">
        <v>36</v>
      </c>
      <c r="B30" s="45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</row>
    <row r="31" spans="1:13" x14ac:dyDescent="0.2">
      <c r="A31" s="45" t="s">
        <v>37</v>
      </c>
      <c r="B31" s="45" t="s">
        <v>9</v>
      </c>
      <c r="C31" s="48"/>
      <c r="D31" s="48"/>
      <c r="E31" s="48"/>
      <c r="F31" s="47">
        <f>1698.63</f>
        <v>1698.63</v>
      </c>
      <c r="G31" s="47">
        <f>1655</f>
        <v>1655</v>
      </c>
      <c r="H31" s="47">
        <f>1721.42</f>
        <v>1721.42</v>
      </c>
      <c r="I31" s="47">
        <f>1677.21</f>
        <v>1677.21</v>
      </c>
      <c r="J31" s="48"/>
      <c r="K31" s="48"/>
      <c r="L31" s="48"/>
      <c r="M31" s="47">
        <f>(((((((((C31)+(D31))+(E31))+(F31))+(G31))+(H31))+(I31))+(J31))+(K31))+(L31)</f>
        <v>6752.26</v>
      </c>
    </row>
    <row r="32" spans="1:13" x14ac:dyDescent="0.2">
      <c r="A32" s="45" t="s">
        <v>38</v>
      </c>
      <c r="B32" s="45"/>
      <c r="C32" s="49">
        <f t="shared" ref="C32:L32" si="7">C31</f>
        <v>0</v>
      </c>
      <c r="D32" s="49">
        <f t="shared" si="7"/>
        <v>0</v>
      </c>
      <c r="E32" s="49">
        <f t="shared" si="7"/>
        <v>0</v>
      </c>
      <c r="F32" s="49">
        <f t="shared" si="7"/>
        <v>1698.63</v>
      </c>
      <c r="G32" s="49">
        <f t="shared" si="7"/>
        <v>1655</v>
      </c>
      <c r="H32" s="49">
        <f t="shared" si="7"/>
        <v>1721.42</v>
      </c>
      <c r="I32" s="49">
        <f t="shared" si="7"/>
        <v>1677.21</v>
      </c>
      <c r="J32" s="49">
        <f t="shared" si="7"/>
        <v>0</v>
      </c>
      <c r="K32" s="49">
        <f t="shared" si="7"/>
        <v>0</v>
      </c>
      <c r="L32" s="49">
        <f t="shared" si="7"/>
        <v>0</v>
      </c>
      <c r="M32" s="49">
        <f>(((((((((C32)+(D32))+(E32))+(F32))+(G32))+(H32))+(I32))+(J32))+(K32))+(L32)</f>
        <v>6752.26</v>
      </c>
    </row>
    <row r="33" spans="1:13" x14ac:dyDescent="0.2">
      <c r="A33" s="45" t="s">
        <v>39</v>
      </c>
      <c r="B33" s="45"/>
      <c r="C33" s="49">
        <f t="shared" ref="C33:L33" si="8">(C29)-(C32)</f>
        <v>2500.9</v>
      </c>
      <c r="D33" s="49">
        <f t="shared" si="8"/>
        <v>2345.7800000000002</v>
      </c>
      <c r="E33" s="49">
        <f t="shared" si="8"/>
        <v>1872.07</v>
      </c>
      <c r="F33" s="49">
        <f t="shared" si="8"/>
        <v>429.85999999999967</v>
      </c>
      <c r="G33" s="49">
        <f t="shared" si="8"/>
        <v>-1655</v>
      </c>
      <c r="H33" s="49">
        <f t="shared" si="8"/>
        <v>-1721.42</v>
      </c>
      <c r="I33" s="49">
        <f t="shared" si="8"/>
        <v>-1677.21</v>
      </c>
      <c r="J33" s="49">
        <f t="shared" si="8"/>
        <v>0</v>
      </c>
      <c r="K33" s="49">
        <f t="shared" si="8"/>
        <v>0</v>
      </c>
      <c r="L33" s="49">
        <f t="shared" si="8"/>
        <v>0</v>
      </c>
      <c r="M33" s="49">
        <f>(((((((((C33)+(D33))+(E33))+(F33))+(G33))+(H33))+(I33))+(J33))+(K33))+(L33)</f>
        <v>2094.9799999999996</v>
      </c>
    </row>
    <row r="34" spans="1:13" x14ac:dyDescent="0.2">
      <c r="A34" s="45" t="s">
        <v>40</v>
      </c>
      <c r="B34" s="45"/>
      <c r="C34" s="49">
        <f t="shared" ref="C34:L34" si="9">(C26)+(C33)</f>
        <v>-7691.9600000000009</v>
      </c>
      <c r="D34" s="49">
        <f t="shared" si="9"/>
        <v>-1968.0400000000004</v>
      </c>
      <c r="E34" s="49">
        <f t="shared" si="9"/>
        <v>1703.8799999999999</v>
      </c>
      <c r="F34" s="49">
        <f t="shared" si="9"/>
        <v>1989393.3900000001</v>
      </c>
      <c r="G34" s="49">
        <f t="shared" si="9"/>
        <v>-3031.13</v>
      </c>
      <c r="H34" s="49">
        <f t="shared" si="9"/>
        <v>-16895.14</v>
      </c>
      <c r="I34" s="49">
        <f t="shared" si="9"/>
        <v>-212863.49</v>
      </c>
      <c r="J34" s="49">
        <f t="shared" si="9"/>
        <v>9002.9299999999985</v>
      </c>
      <c r="K34" s="49">
        <f t="shared" si="9"/>
        <v>-15197.34</v>
      </c>
      <c r="L34" s="49">
        <f t="shared" si="9"/>
        <v>-29178.240000000002</v>
      </c>
      <c r="M34" s="49">
        <f>(((((((((C34)+(D34))+(E34))+(F34))+(G34))+(H34))+(I34))+(J34))+(K34))+(L34)</f>
        <v>1713274.86</v>
      </c>
    </row>
    <row r="35" spans="1:13" x14ac:dyDescent="0.2">
      <c r="A35" s="45"/>
      <c r="B35" s="45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</row>
    <row r="38" spans="1:13" x14ac:dyDescent="0.2">
      <c r="A38" s="50"/>
      <c r="B38" s="5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Consolidating</vt:lpstr>
      <vt:lpstr>GMD Master PL</vt:lpstr>
      <vt:lpstr>ConsPLRef</vt:lpstr>
      <vt:lpstr>GMDPLData</vt:lpstr>
      <vt:lpstr>GMDPLMonth</vt:lpstr>
      <vt:lpstr>Consolidating!Print_Area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Spencer</dc:creator>
  <cp:lastModifiedBy>Microsoft Office User</cp:lastModifiedBy>
  <dcterms:created xsi:type="dcterms:W3CDTF">2020-11-09T15:06:59Z</dcterms:created>
  <dcterms:modified xsi:type="dcterms:W3CDTF">2020-11-09T15:25:44Z</dcterms:modified>
</cp:coreProperties>
</file>