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Nolander\Documents\"/>
    </mc:Choice>
  </mc:AlternateContent>
  <xr:revisionPtr revIDLastSave="0" documentId="13_ncr:1_{10F8E9E7-5693-4952-B902-A922B2E9DC2E}" xr6:coauthVersionLast="45" xr6:coauthVersionMax="45" xr10:uidLastSave="{00000000-0000-0000-0000-000000000000}"/>
  <bookViews>
    <workbookView xWindow="-120" yWindow="-120" windowWidth="29040" windowHeight="15840" firstSheet="6" activeTab="6" xr2:uid="{00000000-000D-0000-FFFF-FFFF00000000}"/>
  </bookViews>
  <sheets>
    <sheet name="March 20" sheetId="33" state="hidden" r:id="rId1"/>
    <sheet name="April 20" sheetId="36" state="hidden" r:id="rId2"/>
    <sheet name="May 20" sheetId="37" state="hidden" r:id="rId3"/>
    <sheet name="June 20" sheetId="38" state="hidden" r:id="rId4"/>
    <sheet name="July 20" sheetId="39" state="hidden" r:id="rId5"/>
    <sheet name="Aug 20" sheetId="40" state="hidden" r:id="rId6"/>
    <sheet name="Cleaning" sheetId="10" r:id="rId7"/>
    <sheet name="PI  Template " sheetId="29" state="hidden" r:id="rId8"/>
    <sheet name="Sheet3" sheetId="31" state="hidden" r:id="rId9"/>
    <sheet name="Sheet2" sheetId="30" state="hidden" r:id="rId10"/>
    <sheet name="Removed properties" sheetId="41" state="hidden" r:id="rId11"/>
    <sheet name="PI template" sheetId="3" state="hidden" r:id="rId12"/>
    <sheet name="Database v1" sheetId="27" state="hidden" r:id="rId13"/>
    <sheet name="Team list" sheetId="20" state="hidden" r:id="rId14"/>
    <sheet name="Sheet1" sheetId="28" state="hidden" r:id="rId15"/>
    <sheet name="PI template (old)" sheetId="21" state="hidden" r:id="rId16"/>
    <sheet name="Cleaning PW" sheetId="18" state="hidden" r:id="rId17"/>
    <sheet name="Landscaping PW" sheetId="19" state="hidden" r:id="rId18"/>
    <sheet name="bolney" sheetId="14" state="hidden" r:id="rId19"/>
  </sheets>
  <externalReferences>
    <externalReference r:id="rId20"/>
  </externalReferences>
  <definedNames>
    <definedName name="_xlnm._FilterDatabase" localSheetId="18" hidden="1">bolney!$A$4:$M$21</definedName>
    <definedName name="_xlnm._FilterDatabase" localSheetId="16" hidden="1">'Cleaning PW'!$A$5:$AX$5</definedName>
    <definedName name="_xlnm._FilterDatabase" localSheetId="12" hidden="1">'Database v1'!$A$1:$I$880</definedName>
    <definedName name="_xlnm._FilterDatabase" localSheetId="17" hidden="1">'Landscaping PW'!$A$5:$AB$60</definedName>
    <definedName name="_xlnm._FilterDatabase" localSheetId="13" hidden="1">'Team list'!$A$1:$A$34</definedName>
    <definedName name="Apr_LA" localSheetId="1">#REF!</definedName>
    <definedName name="Apr_LA" localSheetId="5">#REF!</definedName>
    <definedName name="Apr_LA" localSheetId="4">#REF!</definedName>
    <definedName name="Apr_LA" localSheetId="3">#REF!</definedName>
    <definedName name="Apr_LA" localSheetId="0">#REF!</definedName>
    <definedName name="Apr_LA" localSheetId="2">#REF!</definedName>
    <definedName name="Apr_LA">#REF!</definedName>
    <definedName name="Apr15_LA">#REF!</definedName>
    <definedName name="ATBCL">Cleaning!#REF!</definedName>
    <definedName name="ATBLA">#REF!</definedName>
    <definedName name="Aug_LA" localSheetId="1">#REF!</definedName>
    <definedName name="Aug_LA" localSheetId="5">#REF!</definedName>
    <definedName name="Aug_LA" localSheetId="4">#REF!</definedName>
    <definedName name="Aug_LA" localSheetId="3">#REF!</definedName>
    <definedName name="Aug_LA" localSheetId="0">#REF!</definedName>
    <definedName name="Aug_LA" localSheetId="2">#REF!</definedName>
    <definedName name="Aug_LA">#REF!</definedName>
    <definedName name="Aug15_LA">#REF!</definedName>
    <definedName name="Dec_LA" localSheetId="1">#REF!</definedName>
    <definedName name="Dec_LA" localSheetId="5">#REF!</definedName>
    <definedName name="Dec_LA" localSheetId="4">#REF!</definedName>
    <definedName name="Dec_LA" localSheetId="3">#REF!</definedName>
    <definedName name="Dec_LA" localSheetId="0">#REF!</definedName>
    <definedName name="Dec_LA" localSheetId="2">#REF!</definedName>
    <definedName name="Dec_LA">#REF!</definedName>
    <definedName name="Dec15_LA">#REF!</definedName>
    <definedName name="ExtApr" localSheetId="1">Cleaning!#REF!</definedName>
    <definedName name="ExtApr" localSheetId="5">Cleaning!#REF!</definedName>
    <definedName name="ExtApr" localSheetId="4">Cleaning!#REF!</definedName>
    <definedName name="ExtApr" localSheetId="3">Cleaning!#REF!</definedName>
    <definedName name="ExtApr" localSheetId="0">Cleaning!#REF!</definedName>
    <definedName name="ExtApr" localSheetId="2">Cleaning!#REF!</definedName>
    <definedName name="ExtApr">Cleaning!#REF!</definedName>
    <definedName name="ExtApr15">Cleaning!#REF!</definedName>
    <definedName name="ExtAug" localSheetId="1">Cleaning!#REF!</definedName>
    <definedName name="ExtAug" localSheetId="5">Cleaning!#REF!</definedName>
    <definedName name="ExtAug" localSheetId="4">Cleaning!#REF!</definedName>
    <definedName name="ExtAug" localSheetId="3">Cleaning!#REF!</definedName>
    <definedName name="ExtAug" localSheetId="0">Cleaning!#REF!</definedName>
    <definedName name="ExtAug" localSheetId="2">Cleaning!#REF!</definedName>
    <definedName name="ExtAug">Cleaning!#REF!</definedName>
    <definedName name="ExtAug15">Cleaning!#REF!</definedName>
    <definedName name="ExtDec" localSheetId="1">Cleaning!#REF!</definedName>
    <definedName name="ExtDec" localSheetId="5">Cleaning!#REF!</definedName>
    <definedName name="ExtDec" localSheetId="4">Cleaning!#REF!</definedName>
    <definedName name="ExtDec" localSheetId="3">Cleaning!#REF!</definedName>
    <definedName name="ExtDec" localSheetId="0">Cleaning!#REF!</definedName>
    <definedName name="ExtDec" localSheetId="2">Cleaning!#REF!</definedName>
    <definedName name="ExtDec">Cleaning!#REF!</definedName>
    <definedName name="ExtDec15">Cleaning!#REF!</definedName>
    <definedName name="ExtFeb" localSheetId="1">Cleaning!#REF!</definedName>
    <definedName name="ExtFeb" localSheetId="5">Cleaning!#REF!</definedName>
    <definedName name="ExtFeb" localSheetId="4">Cleaning!#REF!</definedName>
    <definedName name="ExtFeb" localSheetId="3">Cleaning!#REF!</definedName>
    <definedName name="ExtFeb" localSheetId="0">Cleaning!#REF!</definedName>
    <definedName name="ExtFeb" localSheetId="2">Cleaning!#REF!</definedName>
    <definedName name="ExtFeb">Cleaning!#REF!</definedName>
    <definedName name="ExtFeb16">Cleaning!#REF!</definedName>
    <definedName name="ExtJan" localSheetId="1">Cleaning!#REF!</definedName>
    <definedName name="ExtJan" localSheetId="5">Cleaning!#REF!</definedName>
    <definedName name="ExtJan" localSheetId="4">Cleaning!#REF!</definedName>
    <definedName name="ExtJan" localSheetId="3">Cleaning!#REF!</definedName>
    <definedName name="ExtJan" localSheetId="0">Cleaning!#REF!</definedName>
    <definedName name="ExtJan" localSheetId="2">Cleaning!#REF!</definedName>
    <definedName name="ExtJan">Cleaning!#REF!</definedName>
    <definedName name="ExtJan16">Cleaning!#REF!</definedName>
    <definedName name="ExtJul" localSheetId="1">Cleaning!#REF!</definedName>
    <definedName name="ExtJul" localSheetId="5">Cleaning!#REF!</definedName>
    <definedName name="ExtJul" localSheetId="4">Cleaning!#REF!</definedName>
    <definedName name="ExtJul" localSheetId="3">Cleaning!#REF!</definedName>
    <definedName name="ExtJul" localSheetId="0">Cleaning!#REF!</definedName>
    <definedName name="ExtJul" localSheetId="2">Cleaning!#REF!</definedName>
    <definedName name="ExtJul">Cleaning!#REF!</definedName>
    <definedName name="ExtJuly15">Cleaning!#REF!</definedName>
    <definedName name="ExtJun" localSheetId="1">Cleaning!#REF!</definedName>
    <definedName name="ExtJun" localSheetId="5">Cleaning!#REF!</definedName>
    <definedName name="ExtJun" localSheetId="4">Cleaning!#REF!</definedName>
    <definedName name="ExtJun" localSheetId="3">Cleaning!#REF!</definedName>
    <definedName name="ExtJun" localSheetId="0">Cleaning!#REF!</definedName>
    <definedName name="ExtJun" localSheetId="2">Cleaning!#REF!</definedName>
    <definedName name="ExtJun">Cleaning!#REF!</definedName>
    <definedName name="ExtJune15">Cleaning!#REF!</definedName>
    <definedName name="ExtMar" localSheetId="1">Cleaning!#REF!</definedName>
    <definedName name="ExtMar" localSheetId="5">Cleaning!#REF!</definedName>
    <definedName name="ExtMar" localSheetId="4">Cleaning!#REF!</definedName>
    <definedName name="ExtMar" localSheetId="3">Cleaning!#REF!</definedName>
    <definedName name="ExtMar" localSheetId="0">Cleaning!#REF!</definedName>
    <definedName name="ExtMar" localSheetId="2">Cleaning!#REF!</definedName>
    <definedName name="ExtMar">Cleaning!#REF!</definedName>
    <definedName name="ExtMar16" localSheetId="1">Cleaning!#REF!</definedName>
    <definedName name="ExtMar16" localSheetId="5">Cleaning!#REF!</definedName>
    <definedName name="ExtMar16" localSheetId="4">Cleaning!#REF!</definedName>
    <definedName name="ExtMar16" localSheetId="3">Cleaning!#REF!</definedName>
    <definedName name="ExtMar16" localSheetId="0">Cleaning!#REF!</definedName>
    <definedName name="ExtMar16" localSheetId="2">Cleaning!#REF!</definedName>
    <definedName name="ExtMar16">Cleaning!#REF!</definedName>
    <definedName name="ExtMay" localSheetId="1">Cleaning!#REF!</definedName>
    <definedName name="ExtMay" localSheetId="5">Cleaning!#REF!</definedName>
    <definedName name="ExtMay" localSheetId="4">Cleaning!#REF!</definedName>
    <definedName name="ExtMay" localSheetId="3">Cleaning!#REF!</definedName>
    <definedName name="ExtMay" localSheetId="0">Cleaning!#REF!</definedName>
    <definedName name="ExtMay" localSheetId="2">Cleaning!#REF!</definedName>
    <definedName name="ExtMay">Cleaning!#REF!</definedName>
    <definedName name="ExtMay15">Cleaning!#REF!</definedName>
    <definedName name="ExtNov" localSheetId="1">Cleaning!#REF!</definedName>
    <definedName name="ExtNov" localSheetId="5">Cleaning!#REF!</definedName>
    <definedName name="ExtNov" localSheetId="4">Cleaning!#REF!</definedName>
    <definedName name="ExtNov" localSheetId="3">Cleaning!#REF!</definedName>
    <definedName name="ExtNov" localSheetId="0">Cleaning!#REF!</definedName>
    <definedName name="ExtNov" localSheetId="2">Cleaning!#REF!</definedName>
    <definedName name="ExtNov">Cleaning!#REF!</definedName>
    <definedName name="ExtNov15">Cleaning!#REF!</definedName>
    <definedName name="ExtOct" localSheetId="1">Cleaning!#REF!</definedName>
    <definedName name="ExtOct" localSheetId="5">Cleaning!#REF!</definedName>
    <definedName name="ExtOct" localSheetId="4">Cleaning!#REF!</definedName>
    <definedName name="ExtOct" localSheetId="3">Cleaning!#REF!</definedName>
    <definedName name="ExtOct" localSheetId="0">Cleaning!#REF!</definedName>
    <definedName name="ExtOct" localSheetId="2">Cleaning!#REF!</definedName>
    <definedName name="ExtOct">Cleaning!#REF!</definedName>
    <definedName name="ExtOct15">Cleaning!#REF!</definedName>
    <definedName name="ExtSep" localSheetId="1">Cleaning!#REF!</definedName>
    <definedName name="ExtSep" localSheetId="5">Cleaning!#REF!</definedName>
    <definedName name="ExtSep" localSheetId="4">Cleaning!#REF!</definedName>
    <definedName name="ExtSep" localSheetId="3">Cleaning!#REF!</definedName>
    <definedName name="ExtSep" localSheetId="0">Cleaning!#REF!</definedName>
    <definedName name="ExtSep" localSheetId="2">Cleaning!#REF!</definedName>
    <definedName name="ExtSep">Cleaning!#REF!</definedName>
    <definedName name="ExtSept15">Cleaning!#REF!</definedName>
    <definedName name="Feb_LA" localSheetId="1">#REF!</definedName>
    <definedName name="Feb_LA" localSheetId="5">#REF!</definedName>
    <definedName name="Feb_LA" localSheetId="4">#REF!</definedName>
    <definedName name="Feb_LA" localSheetId="3">#REF!</definedName>
    <definedName name="Feb_LA" localSheetId="0">#REF!</definedName>
    <definedName name="Feb_LA" localSheetId="2">#REF!</definedName>
    <definedName name="Feb_LA">#REF!</definedName>
    <definedName name="Feb16_LA">#REF!</definedName>
    <definedName name="IntApr" localSheetId="1">Cleaning!#REF!</definedName>
    <definedName name="IntApr" localSheetId="5">Cleaning!#REF!</definedName>
    <definedName name="IntApr" localSheetId="4">Cleaning!#REF!</definedName>
    <definedName name="IntApr" localSheetId="3">Cleaning!#REF!</definedName>
    <definedName name="IntApr" localSheetId="0">Cleaning!#REF!</definedName>
    <definedName name="IntApr" localSheetId="2">Cleaning!#REF!</definedName>
    <definedName name="IntApr">Cleaning!#REF!</definedName>
    <definedName name="IntApr15">Cleaning!#REF!</definedName>
    <definedName name="IntAug" localSheetId="1">Cleaning!#REF!</definedName>
    <definedName name="IntAug" localSheetId="5">Cleaning!#REF!</definedName>
    <definedName name="IntAug" localSheetId="4">Cleaning!#REF!</definedName>
    <definedName name="IntAug" localSheetId="3">Cleaning!#REF!</definedName>
    <definedName name="IntAug" localSheetId="0">Cleaning!#REF!</definedName>
    <definedName name="IntAug" localSheetId="2">Cleaning!#REF!</definedName>
    <definedName name="IntAug">Cleaning!#REF!</definedName>
    <definedName name="IntAug15">Cleaning!#REF!</definedName>
    <definedName name="IntDec" localSheetId="1">Cleaning!#REF!</definedName>
    <definedName name="IntDec" localSheetId="5">Cleaning!#REF!</definedName>
    <definedName name="IntDec" localSheetId="4">Cleaning!#REF!</definedName>
    <definedName name="IntDec" localSheetId="3">Cleaning!#REF!</definedName>
    <definedName name="IntDec" localSheetId="0">Cleaning!#REF!</definedName>
    <definedName name="IntDec" localSheetId="2">Cleaning!#REF!</definedName>
    <definedName name="IntDec">Cleaning!#REF!</definedName>
    <definedName name="IntDec15">Cleaning!#REF!</definedName>
    <definedName name="IntFeb" localSheetId="1">Cleaning!#REF!</definedName>
    <definedName name="IntFeb" localSheetId="5">Cleaning!#REF!</definedName>
    <definedName name="IntFeb" localSheetId="4">Cleaning!#REF!</definedName>
    <definedName name="IntFeb" localSheetId="3">Cleaning!#REF!</definedName>
    <definedName name="IntFeb" localSheetId="0">Cleaning!#REF!</definedName>
    <definedName name="IntFeb" localSheetId="2">Cleaning!#REF!</definedName>
    <definedName name="IntFeb">Cleaning!#REF!</definedName>
    <definedName name="IntFeb16">Cleaning!#REF!</definedName>
    <definedName name="IntJan" localSheetId="1">Cleaning!#REF!</definedName>
    <definedName name="IntJan" localSheetId="5">Cleaning!#REF!</definedName>
    <definedName name="IntJan" localSheetId="4">Cleaning!#REF!</definedName>
    <definedName name="IntJan" localSheetId="3">Cleaning!#REF!</definedName>
    <definedName name="IntJan" localSheetId="0">Cleaning!#REF!</definedName>
    <definedName name="IntJan" localSheetId="2">Cleaning!#REF!</definedName>
    <definedName name="IntJan">Cleaning!#REF!</definedName>
    <definedName name="IntJan16">Cleaning!#REF!</definedName>
    <definedName name="IntJul" localSheetId="1">Cleaning!#REF!</definedName>
    <definedName name="IntJul" localSheetId="5">Cleaning!#REF!</definedName>
    <definedName name="IntJul" localSheetId="4">Cleaning!#REF!</definedName>
    <definedName name="IntJul" localSheetId="3">Cleaning!#REF!</definedName>
    <definedName name="IntJul" localSheetId="0">Cleaning!#REF!</definedName>
    <definedName name="IntJul" localSheetId="2">Cleaning!#REF!</definedName>
    <definedName name="IntJul">Cleaning!#REF!</definedName>
    <definedName name="IntJuly15">Cleaning!#REF!</definedName>
    <definedName name="IntJun" localSheetId="1">Cleaning!#REF!</definedName>
    <definedName name="IntJun" localSheetId="5">Cleaning!#REF!</definedName>
    <definedName name="IntJun" localSheetId="4">Cleaning!#REF!</definedName>
    <definedName name="IntJun" localSheetId="3">Cleaning!#REF!</definedName>
    <definedName name="IntJun" localSheetId="0">Cleaning!#REF!</definedName>
    <definedName name="IntJun" localSheetId="2">Cleaning!#REF!</definedName>
    <definedName name="IntJun">Cleaning!#REF!</definedName>
    <definedName name="IntJune15">Cleaning!#REF!</definedName>
    <definedName name="IntMar" localSheetId="1">Cleaning!#REF!</definedName>
    <definedName name="IntMar" localSheetId="5">Cleaning!#REF!</definedName>
    <definedName name="IntMar" localSheetId="4">Cleaning!#REF!</definedName>
    <definedName name="IntMar" localSheetId="3">Cleaning!#REF!</definedName>
    <definedName name="IntMar" localSheetId="0">Cleaning!#REF!</definedName>
    <definedName name="IntMar" localSheetId="2">Cleaning!#REF!</definedName>
    <definedName name="IntMar">Cleaning!#REF!</definedName>
    <definedName name="IntMar16" localSheetId="1">Cleaning!#REF!</definedName>
    <definedName name="IntMar16" localSheetId="5">Cleaning!#REF!</definedName>
    <definedName name="IntMar16" localSheetId="4">Cleaning!#REF!</definedName>
    <definedName name="IntMar16" localSheetId="3">Cleaning!#REF!</definedName>
    <definedName name="IntMar16" localSheetId="0">Cleaning!#REF!</definedName>
    <definedName name="IntMar16" localSheetId="2">Cleaning!#REF!</definedName>
    <definedName name="IntMar16">Cleaning!#REF!</definedName>
    <definedName name="IntMay" localSheetId="1">Cleaning!#REF!</definedName>
    <definedName name="IntMay" localSheetId="5">Cleaning!#REF!</definedName>
    <definedName name="IntMay" localSheetId="4">Cleaning!#REF!</definedName>
    <definedName name="IntMay" localSheetId="3">Cleaning!#REF!</definedName>
    <definedName name="IntMay" localSheetId="0">Cleaning!#REF!</definedName>
    <definedName name="IntMay" localSheetId="2">Cleaning!#REF!</definedName>
    <definedName name="IntMay">Cleaning!#REF!</definedName>
    <definedName name="IntMay15">Cleaning!#REF!</definedName>
    <definedName name="IntNov" localSheetId="1">Cleaning!#REF!</definedName>
    <definedName name="IntNov" localSheetId="5">Cleaning!#REF!</definedName>
    <definedName name="IntNov" localSheetId="4">Cleaning!#REF!</definedName>
    <definedName name="IntNov" localSheetId="3">Cleaning!#REF!</definedName>
    <definedName name="IntNov" localSheetId="0">Cleaning!#REF!</definedName>
    <definedName name="IntNov" localSheetId="2">Cleaning!#REF!</definedName>
    <definedName name="IntNov">Cleaning!#REF!</definedName>
    <definedName name="IntNov15">Cleaning!#REF!</definedName>
    <definedName name="IntOct" localSheetId="1">Cleaning!#REF!</definedName>
    <definedName name="IntOct" localSheetId="5">Cleaning!#REF!</definedName>
    <definedName name="IntOct" localSheetId="4">Cleaning!#REF!</definedName>
    <definedName name="IntOct" localSheetId="3">Cleaning!#REF!</definedName>
    <definedName name="IntOct" localSheetId="0">Cleaning!#REF!</definedName>
    <definedName name="IntOct" localSheetId="2">Cleaning!#REF!</definedName>
    <definedName name="IntOct">Cleaning!#REF!</definedName>
    <definedName name="IntOct15">Cleaning!#REF!</definedName>
    <definedName name="IntSep" localSheetId="1">Cleaning!#REF!</definedName>
    <definedName name="IntSep" localSheetId="5">Cleaning!#REF!</definedName>
    <definedName name="IntSep" localSheetId="4">Cleaning!#REF!</definedName>
    <definedName name="IntSep" localSheetId="3">Cleaning!#REF!</definedName>
    <definedName name="IntSep" localSheetId="0">Cleaning!#REF!</definedName>
    <definedName name="IntSep" localSheetId="2">Cleaning!#REF!</definedName>
    <definedName name="IntSep">Cleaning!#REF!</definedName>
    <definedName name="IntSept15">Cleaning!#REF!</definedName>
    <definedName name="Jan_LA" localSheetId="1">#REF!</definedName>
    <definedName name="Jan_LA" localSheetId="5">#REF!</definedName>
    <definedName name="Jan_LA" localSheetId="4">#REF!</definedName>
    <definedName name="Jan_LA" localSheetId="3">#REF!</definedName>
    <definedName name="Jan_LA" localSheetId="0">#REF!</definedName>
    <definedName name="Jan_LA" localSheetId="2">#REF!</definedName>
    <definedName name="Jan_LA">#REF!</definedName>
    <definedName name="Jan16_LA">#REF!</definedName>
    <definedName name="Jul_LA" localSheetId="1">#REF!</definedName>
    <definedName name="Jul_LA" localSheetId="5">#REF!</definedName>
    <definedName name="Jul_LA" localSheetId="4">#REF!</definedName>
    <definedName name="Jul_LA" localSheetId="3">#REF!</definedName>
    <definedName name="Jul_LA" localSheetId="0">#REF!</definedName>
    <definedName name="Jul_LA" localSheetId="2">#REF!</definedName>
    <definedName name="Jul_LA">#REF!</definedName>
    <definedName name="Jul15_LA">#REF!</definedName>
    <definedName name="Jun_LA" localSheetId="1">#REF!</definedName>
    <definedName name="Jun_LA" localSheetId="5">#REF!</definedName>
    <definedName name="Jun_LA" localSheetId="4">#REF!</definedName>
    <definedName name="Jun_LA" localSheetId="3">#REF!</definedName>
    <definedName name="Jun_LA" localSheetId="0">#REF!</definedName>
    <definedName name="Jun_LA" localSheetId="2">#REF!</definedName>
    <definedName name="Jun_LA">#REF!</definedName>
    <definedName name="Jun15_LA">#REF!</definedName>
    <definedName name="Mar_LA" localSheetId="1">#REF!</definedName>
    <definedName name="Mar_LA" localSheetId="5">#REF!</definedName>
    <definedName name="Mar_LA" localSheetId="4">#REF!</definedName>
    <definedName name="Mar_LA" localSheetId="3">#REF!</definedName>
    <definedName name="Mar_LA" localSheetId="0">#REF!</definedName>
    <definedName name="Mar_LA" localSheetId="2">#REF!</definedName>
    <definedName name="Mar_LA">#REF!</definedName>
    <definedName name="Mar16_LA">#REF!</definedName>
    <definedName name="May_LA" localSheetId="1">#REF!</definedName>
    <definedName name="May_LA" localSheetId="5">#REF!</definedName>
    <definedName name="May_LA" localSheetId="4">#REF!</definedName>
    <definedName name="May_LA" localSheetId="3">#REF!</definedName>
    <definedName name="May_LA" localSheetId="0">#REF!</definedName>
    <definedName name="May_LA" localSheetId="2">#REF!</definedName>
    <definedName name="May_LA">#REF!</definedName>
    <definedName name="May15_LA">#REF!</definedName>
    <definedName name="Nov_LA" localSheetId="1">#REF!</definedName>
    <definedName name="Nov_LA" localSheetId="5">#REF!</definedName>
    <definedName name="Nov_LA" localSheetId="4">#REF!</definedName>
    <definedName name="Nov_LA" localSheetId="3">#REF!</definedName>
    <definedName name="Nov_LA" localSheetId="0">#REF!</definedName>
    <definedName name="Nov_LA" localSheetId="2">#REF!</definedName>
    <definedName name="Nov_LA">#REF!</definedName>
    <definedName name="Nov15_LA">#REF!</definedName>
    <definedName name="Oct_LA" localSheetId="1">#REF!</definedName>
    <definedName name="Oct_LA" localSheetId="5">#REF!</definedName>
    <definedName name="Oct_LA" localSheetId="4">#REF!</definedName>
    <definedName name="Oct_LA" localSheetId="3">#REF!</definedName>
    <definedName name="Oct_LA" localSheetId="0">#REF!</definedName>
    <definedName name="Oct_LA" localSheetId="2">#REF!</definedName>
    <definedName name="Oct_LA">#REF!</definedName>
    <definedName name="Oct15_LA">#REF!</definedName>
    <definedName name="_xlnm.Print_Area" localSheetId="6">Cleaning!$A$1:$E$630</definedName>
    <definedName name="Sep_LA" localSheetId="1">#REF!</definedName>
    <definedName name="Sep_LA" localSheetId="5">#REF!</definedName>
    <definedName name="Sep_LA" localSheetId="4">#REF!</definedName>
    <definedName name="Sep_LA" localSheetId="3">#REF!</definedName>
    <definedName name="Sep_LA" localSheetId="0">#REF!</definedName>
    <definedName name="Sep_LA" localSheetId="2">#REF!</definedName>
    <definedName name="Sep_LA">#REF!</definedName>
    <definedName name="Sep15_L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" i="10" l="1" a="1"/>
  <c r="C7" i="10" s="1"/>
  <c r="C8" i="10" a="1"/>
  <c r="C8" i="10" s="1"/>
  <c r="C9" i="10" a="1"/>
  <c r="C9" i="10" s="1"/>
  <c r="C6" i="10" a="1"/>
  <c r="C6" i="10" s="1"/>
  <c r="B6" i="10" l="1"/>
  <c r="C10" i="10" s="1" a="1"/>
  <c r="C10" i="10" s="1"/>
  <c r="B7" i="10"/>
  <c r="C11" i="10" s="1" a="1"/>
  <c r="C11" i="10" s="1"/>
  <c r="B8" i="10"/>
  <c r="C12" i="10" s="1" a="1"/>
  <c r="C12" i="10" s="1"/>
  <c r="B9" i="10"/>
  <c r="C13" i="10" s="1" a="1"/>
  <c r="C13" i="10" s="1"/>
  <c r="B10" i="10"/>
  <c r="C14" i="10" s="1" a="1"/>
  <c r="C14" i="10" s="1"/>
  <c r="B11" i="10"/>
  <c r="C15" i="10" s="1" a="1"/>
  <c r="C15" i="10" s="1"/>
  <c r="B12" i="10"/>
  <c r="C16" i="10" s="1" a="1"/>
  <c r="C16" i="10" s="1"/>
  <c r="B13" i="10"/>
  <c r="C17" i="10" s="1" a="1"/>
  <c r="C17" i="10" s="1"/>
  <c r="B14" i="10"/>
  <c r="C18" i="10" s="1" a="1"/>
  <c r="C18" i="10" s="1"/>
  <c r="B15" i="10"/>
  <c r="C19" i="10" s="1" a="1"/>
  <c r="C19" i="10" s="1"/>
  <c r="B16" i="10"/>
  <c r="C20" i="10" s="1" a="1"/>
  <c r="C20" i="10" s="1"/>
  <c r="B17" i="10"/>
  <c r="C21" i="10" s="1" a="1"/>
  <c r="C21" i="10" s="1"/>
  <c r="B18" i="10"/>
  <c r="C22" i="10" s="1" a="1"/>
  <c r="C22" i="10" s="1"/>
  <c r="B19" i="10"/>
  <c r="C23" i="10" s="1" a="1"/>
  <c r="C23" i="10" s="1"/>
  <c r="B20" i="10"/>
  <c r="C24" i="10" s="1" a="1"/>
  <c r="C24" i="10" s="1"/>
  <c r="B21" i="10"/>
  <c r="C25" i="10" s="1" a="1"/>
  <c r="C25" i="10" s="1"/>
  <c r="B22" i="10"/>
  <c r="C26" i="10" s="1" a="1"/>
  <c r="C26" i="10" s="1"/>
  <c r="B23" i="10"/>
  <c r="C27" i="10" s="1" a="1"/>
  <c r="C27" i="10" s="1"/>
  <c r="B24" i="10"/>
  <c r="C28" i="10" s="1" a="1"/>
  <c r="C28" i="10" s="1"/>
  <c r="B25" i="10"/>
  <c r="C29" i="10" s="1" a="1"/>
  <c r="C29" i="10" s="1"/>
  <c r="B26" i="10"/>
  <c r="C30" i="10" s="1" a="1"/>
  <c r="C30" i="10" s="1"/>
  <c r="B27" i="10"/>
  <c r="C31" i="10" s="1" a="1"/>
  <c r="C31" i="10" s="1"/>
  <c r="B28" i="10"/>
  <c r="C32" i="10" s="1" a="1"/>
  <c r="C32" i="10" s="1"/>
  <c r="B29" i="10"/>
  <c r="C33" i="10" s="1" a="1"/>
  <c r="C33" i="10" s="1"/>
  <c r="B30" i="10"/>
  <c r="C34" i="10" s="1" a="1"/>
  <c r="C34" i="10" s="1"/>
  <c r="B31" i="10"/>
  <c r="C35" i="10" s="1" a="1"/>
  <c r="C35" i="10" s="1"/>
  <c r="B32" i="10"/>
  <c r="C36" i="10" s="1" a="1"/>
  <c r="C36" i="10" s="1"/>
  <c r="B33" i="10"/>
  <c r="C37" i="10" s="1" a="1"/>
  <c r="C37" i="10" s="1"/>
  <c r="B34" i="10"/>
  <c r="C38" i="10" s="1" a="1"/>
  <c r="C38" i="10" s="1"/>
  <c r="B35" i="10"/>
  <c r="C39" i="10" s="1" a="1"/>
  <c r="C39" i="10" s="1"/>
  <c r="B36" i="10"/>
  <c r="C40" i="10" s="1" a="1"/>
  <c r="C40" i="10" s="1"/>
  <c r="B37" i="10"/>
  <c r="C41" i="10" s="1" a="1"/>
  <c r="C41" i="10" s="1"/>
  <c r="B38" i="10"/>
  <c r="C42" i="10" s="1" a="1"/>
  <c r="C42" i="10" s="1"/>
  <c r="B39" i="10"/>
  <c r="C43" i="10" s="1" a="1"/>
  <c r="C43" i="10" s="1"/>
  <c r="B40" i="10"/>
  <c r="C44" i="10" s="1" a="1"/>
  <c r="C44" i="10" s="1"/>
  <c r="B41" i="10"/>
  <c r="C45" i="10" s="1" a="1"/>
  <c r="C45" i="10" s="1"/>
  <c r="B42" i="10"/>
  <c r="C46" i="10" s="1" a="1"/>
  <c r="C46" i="10" s="1"/>
  <c r="B43" i="10"/>
  <c r="C47" i="10" s="1" a="1"/>
  <c r="C47" i="10" s="1"/>
  <c r="B44" i="10"/>
  <c r="C48" i="10" s="1" a="1"/>
  <c r="C48" i="10" s="1"/>
  <c r="B45" i="10"/>
  <c r="C49" i="10" s="1" a="1"/>
  <c r="C49" i="10" s="1"/>
  <c r="B46" i="10"/>
  <c r="C50" i="10" s="1" a="1"/>
  <c r="C50" i="10" s="1"/>
  <c r="B47" i="10"/>
  <c r="C51" i="10" s="1" a="1"/>
  <c r="C51" i="10" s="1"/>
  <c r="B48" i="10"/>
  <c r="C52" i="10" s="1" a="1"/>
  <c r="C52" i="10" s="1"/>
  <c r="B49" i="10"/>
  <c r="C53" i="10" s="1" a="1"/>
  <c r="C53" i="10" s="1"/>
  <c r="B50" i="10"/>
  <c r="C54" i="10" s="1" a="1"/>
  <c r="C54" i="10" s="1"/>
  <c r="B51" i="10"/>
  <c r="C55" i="10" s="1" a="1"/>
  <c r="C55" i="10" s="1"/>
  <c r="B52" i="10"/>
  <c r="C56" i="10" s="1" a="1"/>
  <c r="C56" i="10" s="1"/>
  <c r="B53" i="10"/>
  <c r="C57" i="10" s="1" a="1"/>
  <c r="C57" i="10" s="1"/>
  <c r="B54" i="10"/>
  <c r="C58" i="10" s="1" a="1"/>
  <c r="C58" i="10" s="1"/>
  <c r="B55" i="10"/>
  <c r="C59" i="10" s="1" a="1"/>
  <c r="C59" i="10" s="1"/>
  <c r="B56" i="10"/>
  <c r="C60" i="10" s="1" a="1"/>
  <c r="C60" i="10" s="1"/>
  <c r="B57" i="10"/>
  <c r="C61" i="10" s="1" a="1"/>
  <c r="C61" i="10" s="1"/>
  <c r="B58" i="10"/>
  <c r="C62" i="10" s="1" a="1"/>
  <c r="C62" i="10" s="1"/>
  <c r="B59" i="10"/>
  <c r="C63" i="10" s="1" a="1"/>
  <c r="C63" i="10" s="1"/>
  <c r="B60" i="10"/>
  <c r="C64" i="10" s="1" a="1"/>
  <c r="C64" i="10" s="1"/>
  <c r="B61" i="10"/>
  <c r="C65" i="10" s="1" a="1"/>
  <c r="C65" i="10" s="1"/>
  <c r="B62" i="10"/>
  <c r="C66" i="10" s="1" a="1"/>
  <c r="C66" i="10" s="1"/>
  <c r="B63" i="10"/>
  <c r="C67" i="10" s="1" a="1"/>
  <c r="C67" i="10" s="1"/>
  <c r="B64" i="10"/>
  <c r="C68" i="10" s="1" a="1"/>
  <c r="C68" i="10" s="1"/>
  <c r="B65" i="10"/>
  <c r="C69" i="10" s="1" a="1"/>
  <c r="C69" i="10" s="1"/>
  <c r="B66" i="10"/>
  <c r="C70" i="10" s="1" a="1"/>
  <c r="C70" i="10" s="1"/>
  <c r="B67" i="10"/>
  <c r="C71" i="10" s="1" a="1"/>
  <c r="C71" i="10" s="1"/>
  <c r="B68" i="10"/>
  <c r="C72" i="10" s="1" a="1"/>
  <c r="C72" i="10" s="1"/>
  <c r="B69" i="10"/>
  <c r="C73" i="10" s="1" a="1"/>
  <c r="C73" i="10" s="1"/>
  <c r="B70" i="10"/>
  <c r="C74" i="10" s="1" a="1"/>
  <c r="C74" i="10" s="1"/>
  <c r="B71" i="10"/>
  <c r="C75" i="10" s="1" a="1"/>
  <c r="C75" i="10" s="1"/>
  <c r="B72" i="10"/>
  <c r="C76" i="10" s="1" a="1"/>
  <c r="C76" i="10" s="1"/>
  <c r="B73" i="10"/>
  <c r="C77" i="10" s="1" a="1"/>
  <c r="C77" i="10" s="1"/>
  <c r="B74" i="10"/>
  <c r="C78" i="10" s="1" a="1"/>
  <c r="C78" i="10" s="1"/>
  <c r="B75" i="10"/>
  <c r="C79" i="10" s="1" a="1"/>
  <c r="C79" i="10" s="1"/>
  <c r="B76" i="10"/>
  <c r="C80" i="10" s="1" a="1"/>
  <c r="C80" i="10" s="1"/>
  <c r="B77" i="10"/>
  <c r="C81" i="10" s="1" a="1"/>
  <c r="C81" i="10" s="1"/>
  <c r="B78" i="10"/>
  <c r="C82" i="10" s="1" a="1"/>
  <c r="C82" i="10" s="1"/>
  <c r="B79" i="10"/>
  <c r="C83" i="10" s="1" a="1"/>
  <c r="C83" i="10" s="1"/>
  <c r="B80" i="10"/>
  <c r="C84" i="10" s="1" a="1"/>
  <c r="C84" i="10" s="1"/>
  <c r="B81" i="10"/>
  <c r="C85" i="10" s="1" a="1"/>
  <c r="C85" i="10" s="1"/>
  <c r="B82" i="10"/>
  <c r="C86" i="10" s="1" a="1"/>
  <c r="C86" i="10" s="1"/>
  <c r="B83" i="10"/>
  <c r="C87" i="10" s="1" a="1"/>
  <c r="C87" i="10" s="1"/>
  <c r="B84" i="10"/>
  <c r="C88" i="10" s="1" a="1"/>
  <c r="C88" i="10" s="1"/>
  <c r="B85" i="10"/>
  <c r="C89" i="10" s="1" a="1"/>
  <c r="C89" i="10" s="1"/>
  <c r="B86" i="10"/>
  <c r="C90" i="10" s="1" a="1"/>
  <c r="C90" i="10" s="1"/>
  <c r="B87" i="10"/>
  <c r="C91" i="10" s="1" a="1"/>
  <c r="C91" i="10" s="1"/>
  <c r="B88" i="10"/>
  <c r="C92" i="10" s="1" a="1"/>
  <c r="C92" i="10" s="1"/>
  <c r="B89" i="10"/>
  <c r="C93" i="10" s="1" a="1"/>
  <c r="C93" i="10" s="1"/>
  <c r="B90" i="10"/>
  <c r="C94" i="10" s="1" a="1"/>
  <c r="C94" i="10" s="1"/>
  <c r="B91" i="10"/>
  <c r="C95" i="10" s="1" a="1"/>
  <c r="C95" i="10" s="1"/>
  <c r="B92" i="10"/>
  <c r="C96" i="10" s="1" a="1"/>
  <c r="C96" i="10" s="1"/>
  <c r="B93" i="10"/>
  <c r="C97" i="10" s="1" a="1"/>
  <c r="C97" i="10" s="1"/>
  <c r="B94" i="10"/>
  <c r="C98" i="10" s="1" a="1"/>
  <c r="C98" i="10" s="1"/>
  <c r="B95" i="10"/>
  <c r="C99" i="10" s="1" a="1"/>
  <c r="C99" i="10" s="1"/>
  <c r="B96" i="10"/>
  <c r="C100" i="10" s="1" a="1"/>
  <c r="C100" i="10" s="1"/>
  <c r="B97" i="10"/>
  <c r="C101" i="10" s="1" a="1"/>
  <c r="C101" i="10" s="1"/>
  <c r="B98" i="10"/>
  <c r="C102" i="10" s="1" a="1"/>
  <c r="C102" i="10" s="1"/>
  <c r="B99" i="10"/>
  <c r="C103" i="10" s="1" a="1"/>
  <c r="C103" i="10" s="1"/>
  <c r="B100" i="10"/>
  <c r="C104" i="10" s="1" a="1"/>
  <c r="C104" i="10" s="1"/>
  <c r="B101" i="10"/>
  <c r="C105" i="10" s="1" a="1"/>
  <c r="C105" i="10" s="1"/>
  <c r="B102" i="10"/>
  <c r="C106" i="10" s="1" a="1"/>
  <c r="C106" i="10" s="1"/>
  <c r="B103" i="10"/>
  <c r="C107" i="10" s="1" a="1"/>
  <c r="C107" i="10" s="1"/>
  <c r="B104" i="10"/>
  <c r="C108" i="10" s="1" a="1"/>
  <c r="C108" i="10" s="1"/>
  <c r="B105" i="10"/>
  <c r="C109" i="10" s="1" a="1"/>
  <c r="C109" i="10" s="1"/>
  <c r="B106" i="10"/>
  <c r="C110" i="10" s="1" a="1"/>
  <c r="C110" i="10" s="1"/>
  <c r="B107" i="10"/>
  <c r="C111" i="10" s="1" a="1"/>
  <c r="C111" i="10" s="1"/>
  <c r="B108" i="10"/>
  <c r="C112" i="10" s="1" a="1"/>
  <c r="C112" i="10" s="1"/>
  <c r="B109" i="10"/>
  <c r="C113" i="10" s="1" a="1"/>
  <c r="C113" i="10" s="1"/>
  <c r="B110" i="10"/>
  <c r="C114" i="10" s="1" a="1"/>
  <c r="C114" i="10" s="1"/>
  <c r="B111" i="10"/>
  <c r="C115" i="10" s="1" a="1"/>
  <c r="C115" i="10" s="1"/>
  <c r="B112" i="10"/>
  <c r="C116" i="10" s="1" a="1"/>
  <c r="C116" i="10" s="1"/>
  <c r="B113" i="10"/>
  <c r="C117" i="10" s="1" a="1"/>
  <c r="C117" i="10" s="1"/>
  <c r="B114" i="10"/>
  <c r="C118" i="10" s="1" a="1"/>
  <c r="C118" i="10" s="1"/>
  <c r="B115" i="10"/>
  <c r="C119" i="10" s="1" a="1"/>
  <c r="C119" i="10" s="1"/>
  <c r="B116" i="10"/>
  <c r="C120" i="10" s="1" a="1"/>
  <c r="C120" i="10" s="1"/>
  <c r="B117" i="10"/>
  <c r="C121" i="10" s="1" a="1"/>
  <c r="C121" i="10" s="1"/>
  <c r="B118" i="10"/>
  <c r="C122" i="10" s="1" a="1"/>
  <c r="C122" i="10" s="1"/>
  <c r="B119" i="10"/>
  <c r="C123" i="10" s="1" a="1"/>
  <c r="C123" i="10" s="1"/>
  <c r="B120" i="10"/>
  <c r="C124" i="10" s="1" a="1"/>
  <c r="C124" i="10" s="1"/>
  <c r="B121" i="10"/>
  <c r="C125" i="10" s="1" a="1"/>
  <c r="C125" i="10" s="1"/>
  <c r="B122" i="10"/>
  <c r="C126" i="10" s="1" a="1"/>
  <c r="C126" i="10" s="1"/>
  <c r="B123" i="10"/>
  <c r="C127" i="10" s="1" a="1"/>
  <c r="C127" i="10" s="1"/>
  <c r="B124" i="10"/>
  <c r="C128" i="10" s="1" a="1"/>
  <c r="C128" i="10" s="1"/>
  <c r="B125" i="10"/>
  <c r="C129" i="10" s="1" a="1"/>
  <c r="C129" i="10" s="1"/>
  <c r="B126" i="10"/>
  <c r="C130" i="10" s="1" a="1"/>
  <c r="C130" i="10" s="1"/>
  <c r="B127" i="10"/>
  <c r="C131" i="10" s="1" a="1"/>
  <c r="C131" i="10" s="1"/>
  <c r="B128" i="10"/>
  <c r="C132" i="10" s="1" a="1"/>
  <c r="C132" i="10" s="1"/>
  <c r="B129" i="10"/>
  <c r="C133" i="10" s="1" a="1"/>
  <c r="C133" i="10" s="1"/>
  <c r="B130" i="10"/>
  <c r="C134" i="10" s="1" a="1"/>
  <c r="C134" i="10" s="1"/>
  <c r="B131" i="10"/>
  <c r="C135" i="10" s="1" a="1"/>
  <c r="C135" i="10" s="1"/>
  <c r="B132" i="10"/>
  <c r="C136" i="10" s="1" a="1"/>
  <c r="C136" i="10" s="1"/>
  <c r="B133" i="10"/>
  <c r="C137" i="10" s="1" a="1"/>
  <c r="C137" i="10" s="1"/>
  <c r="B134" i="10"/>
  <c r="C138" i="10" s="1" a="1"/>
  <c r="C138" i="10" s="1"/>
  <c r="B135" i="10"/>
  <c r="C139" i="10" s="1" a="1"/>
  <c r="C139" i="10" s="1"/>
  <c r="B136" i="10"/>
  <c r="C140" i="10" s="1" a="1"/>
  <c r="C140" i="10" s="1"/>
  <c r="B137" i="10"/>
  <c r="C141" i="10" s="1" a="1"/>
  <c r="C141" i="10" s="1"/>
  <c r="B138" i="10"/>
  <c r="C142" i="10" s="1" a="1"/>
  <c r="C142" i="10" s="1"/>
  <c r="B139" i="10"/>
  <c r="C143" i="10" s="1" a="1"/>
  <c r="C143" i="10" s="1"/>
  <c r="B140" i="10"/>
  <c r="C144" i="10" s="1" a="1"/>
  <c r="C144" i="10" s="1"/>
  <c r="B141" i="10"/>
  <c r="C145" i="10" s="1" a="1"/>
  <c r="C145" i="10" s="1"/>
  <c r="B142" i="10"/>
  <c r="C146" i="10" s="1" a="1"/>
  <c r="C146" i="10" s="1"/>
  <c r="B143" i="10"/>
  <c r="C147" i="10" s="1" a="1"/>
  <c r="C147" i="10" s="1"/>
  <c r="B144" i="10"/>
  <c r="C148" i="10" s="1" a="1"/>
  <c r="C148" i="10" s="1"/>
  <c r="B145" i="10"/>
  <c r="C149" i="10" s="1" a="1"/>
  <c r="C149" i="10" s="1"/>
  <c r="B146" i="10"/>
  <c r="C150" i="10" s="1" a="1"/>
  <c r="C150" i="10" s="1"/>
  <c r="B147" i="10"/>
  <c r="C151" i="10" s="1" a="1"/>
  <c r="C151" i="10" s="1"/>
  <c r="B148" i="10"/>
  <c r="C152" i="10" s="1" a="1"/>
  <c r="C152" i="10" s="1"/>
  <c r="B149" i="10"/>
  <c r="C153" i="10" s="1" a="1"/>
  <c r="C153" i="10" s="1"/>
  <c r="B150" i="10"/>
  <c r="C154" i="10" s="1" a="1"/>
  <c r="C154" i="10" s="1"/>
  <c r="B151" i="10"/>
  <c r="C155" i="10" s="1" a="1"/>
  <c r="C155" i="10" s="1"/>
  <c r="B152" i="10"/>
  <c r="C156" i="10" s="1" a="1"/>
  <c r="C156" i="10" s="1"/>
  <c r="B153" i="10"/>
  <c r="C157" i="10" s="1" a="1"/>
  <c r="C157" i="10" s="1"/>
  <c r="B154" i="10"/>
  <c r="C158" i="10" s="1" a="1"/>
  <c r="C158" i="10" s="1"/>
  <c r="B155" i="10"/>
  <c r="C159" i="10" s="1" a="1"/>
  <c r="C159" i="10" s="1"/>
  <c r="B156" i="10"/>
  <c r="C160" i="10" s="1" a="1"/>
  <c r="C160" i="10" s="1"/>
  <c r="B157" i="10"/>
  <c r="C161" i="10" s="1" a="1"/>
  <c r="C161" i="10" s="1"/>
  <c r="B158" i="10"/>
  <c r="C162" i="10" s="1" a="1"/>
  <c r="C162" i="10" s="1"/>
  <c r="B159" i="10"/>
  <c r="C163" i="10" s="1" a="1"/>
  <c r="C163" i="10" s="1"/>
  <c r="B160" i="10"/>
  <c r="C164" i="10" s="1" a="1"/>
  <c r="C164" i="10" s="1"/>
  <c r="B161" i="10"/>
  <c r="C165" i="10" s="1" a="1"/>
  <c r="C165" i="10" s="1"/>
  <c r="B162" i="10"/>
  <c r="C166" i="10" s="1" a="1"/>
  <c r="C166" i="10" s="1"/>
  <c r="B163" i="10"/>
  <c r="C167" i="10" s="1" a="1"/>
  <c r="C167" i="10" s="1"/>
  <c r="B164" i="10"/>
  <c r="C168" i="10" s="1" a="1"/>
  <c r="C168" i="10" s="1"/>
  <c r="B165" i="10"/>
  <c r="C169" i="10" s="1" a="1"/>
  <c r="C169" i="10" s="1"/>
  <c r="B166" i="10"/>
  <c r="C170" i="10" s="1" a="1"/>
  <c r="C170" i="10" s="1"/>
  <c r="B167" i="10"/>
  <c r="C171" i="10" s="1" a="1"/>
  <c r="C171" i="10" s="1"/>
  <c r="B168" i="10"/>
  <c r="C172" i="10" s="1" a="1"/>
  <c r="C172" i="10" s="1"/>
  <c r="B169" i="10"/>
  <c r="C173" i="10" s="1" a="1"/>
  <c r="C173" i="10" s="1"/>
  <c r="B170" i="10"/>
  <c r="C174" i="10" s="1" a="1"/>
  <c r="C174" i="10" s="1"/>
  <c r="B171" i="10"/>
  <c r="C175" i="10" s="1" a="1"/>
  <c r="C175" i="10" s="1"/>
  <c r="B172" i="10"/>
  <c r="C176" i="10" s="1" a="1"/>
  <c r="C176" i="10" s="1"/>
  <c r="B173" i="10"/>
  <c r="C177" i="10" s="1" a="1"/>
  <c r="C177" i="10" s="1"/>
  <c r="B174" i="10"/>
  <c r="C178" i="10" s="1" a="1"/>
  <c r="C178" i="10" s="1"/>
  <c r="B175" i="10"/>
  <c r="C179" i="10" s="1" a="1"/>
  <c r="C179" i="10" s="1"/>
  <c r="B176" i="10"/>
  <c r="C180" i="10" s="1" a="1"/>
  <c r="C180" i="10" s="1"/>
  <c r="B177" i="10"/>
  <c r="C181" i="10" s="1" a="1"/>
  <c r="C181" i="10" s="1"/>
  <c r="B178" i="10"/>
  <c r="C182" i="10" s="1" a="1"/>
  <c r="C182" i="10" s="1"/>
  <c r="B179" i="10"/>
  <c r="C183" i="10" s="1" a="1"/>
  <c r="C183" i="10" s="1"/>
  <c r="B180" i="10"/>
  <c r="C184" i="10" s="1" a="1"/>
  <c r="C184" i="10" s="1"/>
  <c r="B181" i="10"/>
  <c r="C185" i="10" s="1" a="1"/>
  <c r="C185" i="10" s="1"/>
  <c r="B182" i="10"/>
  <c r="C186" i="10" s="1" a="1"/>
  <c r="C186" i="10" s="1"/>
  <c r="B183" i="10"/>
  <c r="C187" i="10" s="1" a="1"/>
  <c r="C187" i="10" s="1"/>
  <c r="B184" i="10"/>
  <c r="C188" i="10" s="1" a="1"/>
  <c r="C188" i="10" s="1"/>
  <c r="B185" i="10"/>
  <c r="C189" i="10" s="1" a="1"/>
  <c r="C189" i="10" s="1"/>
  <c r="B186" i="10"/>
  <c r="C190" i="10" s="1" a="1"/>
  <c r="C190" i="10" s="1"/>
  <c r="B187" i="10"/>
  <c r="C191" i="10" s="1" a="1"/>
  <c r="C191" i="10" s="1"/>
  <c r="B188" i="10"/>
  <c r="C192" i="10" s="1" a="1"/>
  <c r="C192" i="10" s="1"/>
  <c r="B189" i="10"/>
  <c r="C193" i="10" s="1" a="1"/>
  <c r="C193" i="10" s="1"/>
  <c r="B190" i="10"/>
  <c r="C194" i="10" s="1" a="1"/>
  <c r="C194" i="10" s="1"/>
  <c r="B191" i="10"/>
  <c r="C195" i="10" s="1" a="1"/>
  <c r="C195" i="10" s="1"/>
  <c r="B192" i="10"/>
  <c r="C196" i="10" s="1" a="1"/>
  <c r="C196" i="10" s="1"/>
  <c r="B193" i="10"/>
  <c r="C197" i="10" s="1" a="1"/>
  <c r="C197" i="10" s="1"/>
  <c r="B194" i="10"/>
  <c r="C198" i="10" s="1" a="1"/>
  <c r="C198" i="10" s="1"/>
  <c r="B195" i="10"/>
  <c r="C199" i="10" s="1" a="1"/>
  <c r="C199" i="10" s="1"/>
  <c r="B196" i="10"/>
  <c r="C200" i="10" s="1" a="1"/>
  <c r="C200" i="10" s="1"/>
  <c r="B197" i="10"/>
  <c r="C201" i="10" s="1" a="1"/>
  <c r="C201" i="10" s="1"/>
  <c r="B198" i="10"/>
  <c r="C202" i="10" s="1" a="1"/>
  <c r="C202" i="10" s="1"/>
  <c r="B199" i="10"/>
  <c r="C203" i="10" s="1" a="1"/>
  <c r="C203" i="10" s="1"/>
  <c r="B200" i="10"/>
  <c r="C204" i="10" s="1" a="1"/>
  <c r="C204" i="10" s="1"/>
  <c r="B201" i="10"/>
  <c r="C205" i="10" s="1" a="1"/>
  <c r="C205" i="10" s="1"/>
  <c r="B202" i="10"/>
  <c r="C206" i="10" s="1" a="1"/>
  <c r="C206" i="10" s="1"/>
  <c r="B203" i="10"/>
  <c r="C207" i="10" s="1" a="1"/>
  <c r="C207" i="10" s="1"/>
  <c r="B204" i="10"/>
  <c r="C208" i="10" s="1" a="1"/>
  <c r="C208" i="10" s="1"/>
  <c r="B205" i="10"/>
  <c r="C209" i="10" s="1" a="1"/>
  <c r="C209" i="10" s="1"/>
  <c r="B206" i="10"/>
  <c r="C210" i="10" s="1" a="1"/>
  <c r="C210" i="10" s="1"/>
  <c r="B207" i="10"/>
  <c r="C211" i="10" s="1" a="1"/>
  <c r="C211" i="10" s="1"/>
  <c r="B208" i="10"/>
  <c r="C212" i="10" s="1" a="1"/>
  <c r="C212" i="10" s="1"/>
  <c r="B209" i="10"/>
  <c r="C213" i="10" s="1" a="1"/>
  <c r="C213" i="10" s="1"/>
  <c r="B210" i="10"/>
  <c r="C214" i="10" s="1" a="1"/>
  <c r="C214" i="10" s="1"/>
  <c r="B211" i="10"/>
  <c r="C215" i="10" s="1" a="1"/>
  <c r="C215" i="10" s="1"/>
  <c r="B212" i="10"/>
  <c r="C216" i="10" s="1" a="1"/>
  <c r="C216" i="10" s="1"/>
  <c r="B213" i="10"/>
  <c r="C217" i="10" s="1" a="1"/>
  <c r="C217" i="10" s="1"/>
  <c r="B214" i="10"/>
  <c r="C218" i="10" s="1" a="1"/>
  <c r="C218" i="10" s="1"/>
  <c r="B215" i="10"/>
  <c r="C219" i="10" s="1" a="1"/>
  <c r="C219" i="10" s="1"/>
  <c r="B216" i="10"/>
  <c r="C220" i="10" s="1" a="1"/>
  <c r="C220" i="10" s="1"/>
  <c r="B217" i="10"/>
  <c r="C221" i="10" s="1" a="1"/>
  <c r="C221" i="10" s="1"/>
  <c r="B218" i="10"/>
  <c r="C222" i="10" s="1" a="1"/>
  <c r="C222" i="10" s="1"/>
  <c r="B219" i="10"/>
  <c r="C223" i="10" s="1" a="1"/>
  <c r="C223" i="10" s="1"/>
  <c r="B220" i="10"/>
  <c r="C224" i="10" s="1" a="1"/>
  <c r="C224" i="10" s="1"/>
  <c r="B221" i="10"/>
  <c r="C225" i="10" s="1" a="1"/>
  <c r="C225" i="10" s="1"/>
  <c r="B222" i="10"/>
  <c r="C226" i="10" s="1" a="1"/>
  <c r="C226" i="10" s="1"/>
  <c r="B223" i="10"/>
  <c r="C227" i="10" s="1" a="1"/>
  <c r="C227" i="10" s="1"/>
  <c r="B224" i="10"/>
  <c r="C228" i="10" s="1" a="1"/>
  <c r="C228" i="10" s="1"/>
  <c r="B225" i="10"/>
  <c r="C229" i="10" s="1" a="1"/>
  <c r="C229" i="10" s="1"/>
  <c r="B226" i="10"/>
  <c r="C230" i="10" s="1" a="1"/>
  <c r="C230" i="10" s="1"/>
  <c r="B227" i="10"/>
  <c r="C231" i="10" s="1" a="1"/>
  <c r="C231" i="10" s="1"/>
  <c r="B228" i="10"/>
  <c r="C232" i="10" s="1" a="1"/>
  <c r="C232" i="10" s="1"/>
  <c r="B229" i="10"/>
  <c r="C233" i="10" s="1" a="1"/>
  <c r="C233" i="10" s="1"/>
  <c r="B230" i="10"/>
  <c r="C234" i="10" s="1" a="1"/>
  <c r="C234" i="10" s="1"/>
  <c r="B231" i="10"/>
  <c r="C235" i="10" s="1" a="1"/>
  <c r="C235" i="10" s="1"/>
  <c r="B232" i="10"/>
  <c r="C236" i="10" s="1" a="1"/>
  <c r="C236" i="10" s="1"/>
  <c r="B233" i="10"/>
  <c r="C237" i="10" s="1" a="1"/>
  <c r="C237" i="10" s="1"/>
  <c r="B234" i="10"/>
  <c r="C238" i="10" s="1" a="1"/>
  <c r="C238" i="10" s="1"/>
  <c r="B235" i="10"/>
  <c r="C239" i="10" s="1" a="1"/>
  <c r="C239" i="10" s="1"/>
  <c r="B236" i="10"/>
  <c r="C240" i="10" s="1" a="1"/>
  <c r="C240" i="10" s="1"/>
  <c r="B237" i="10"/>
  <c r="C241" i="10" s="1" a="1"/>
  <c r="C241" i="10" s="1"/>
  <c r="B238" i="10"/>
  <c r="C242" i="10" s="1" a="1"/>
  <c r="C242" i="10" s="1"/>
  <c r="B239" i="10"/>
  <c r="C243" i="10" s="1" a="1"/>
  <c r="C243" i="10" s="1"/>
  <c r="B240" i="10"/>
  <c r="C244" i="10" s="1" a="1"/>
  <c r="C244" i="10" s="1"/>
  <c r="B241" i="10"/>
  <c r="C245" i="10" s="1" a="1"/>
  <c r="C245" i="10" s="1"/>
  <c r="B242" i="10"/>
  <c r="C246" i="10" s="1" a="1"/>
  <c r="C246" i="10" s="1"/>
  <c r="B243" i="10"/>
  <c r="C247" i="10" s="1" a="1"/>
  <c r="C247" i="10" s="1"/>
  <c r="B244" i="10"/>
  <c r="C248" i="10" s="1" a="1"/>
  <c r="C248" i="10" s="1"/>
  <c r="B245" i="10"/>
  <c r="C249" i="10" s="1" a="1"/>
  <c r="C249" i="10" s="1"/>
  <c r="B246" i="10"/>
  <c r="C250" i="10" s="1" a="1"/>
  <c r="C250" i="10" s="1"/>
  <c r="B247" i="10"/>
  <c r="C251" i="10" s="1" a="1"/>
  <c r="C251" i="10" s="1"/>
  <c r="B248" i="10"/>
  <c r="C252" i="10" s="1" a="1"/>
  <c r="C252" i="10" s="1"/>
  <c r="B249" i="10"/>
  <c r="C253" i="10" s="1" a="1"/>
  <c r="C253" i="10" s="1"/>
  <c r="B250" i="10"/>
  <c r="C254" i="10" s="1" a="1"/>
  <c r="C254" i="10" s="1"/>
  <c r="B251" i="10"/>
  <c r="C255" i="10" s="1" a="1"/>
  <c r="C255" i="10" s="1"/>
  <c r="B252" i="10"/>
  <c r="C256" i="10" s="1" a="1"/>
  <c r="C256" i="10" s="1"/>
  <c r="B253" i="10"/>
  <c r="C257" i="10" s="1" a="1"/>
  <c r="C257" i="10" s="1"/>
  <c r="B254" i="10"/>
  <c r="C258" i="10" s="1" a="1"/>
  <c r="C258" i="10" s="1"/>
  <c r="B255" i="10"/>
  <c r="C259" i="10" s="1" a="1"/>
  <c r="C259" i="10" s="1"/>
  <c r="B256" i="10"/>
  <c r="C260" i="10" s="1" a="1"/>
  <c r="C260" i="10" s="1"/>
  <c r="B257" i="10"/>
  <c r="C261" i="10" s="1" a="1"/>
  <c r="C261" i="10" s="1"/>
  <c r="B258" i="10"/>
  <c r="C262" i="10" s="1" a="1"/>
  <c r="C262" i="10" s="1"/>
  <c r="B259" i="10"/>
  <c r="C263" i="10" s="1" a="1"/>
  <c r="C263" i="10" s="1"/>
  <c r="B260" i="10"/>
  <c r="C264" i="10" s="1" a="1"/>
  <c r="C264" i="10" s="1"/>
  <c r="B261" i="10"/>
  <c r="C265" i="10" s="1" a="1"/>
  <c r="C265" i="10" s="1"/>
  <c r="B262" i="10"/>
  <c r="C266" i="10" s="1" a="1"/>
  <c r="C266" i="10" s="1"/>
  <c r="B263" i="10"/>
  <c r="C267" i="10" s="1" a="1"/>
  <c r="C267" i="10" s="1"/>
  <c r="B264" i="10"/>
  <c r="C268" i="10" s="1" a="1"/>
  <c r="C268" i="10" s="1"/>
  <c r="B265" i="10"/>
  <c r="C269" i="10" s="1" a="1"/>
  <c r="C269" i="10" s="1"/>
  <c r="B266" i="10"/>
  <c r="C270" i="10" s="1" a="1"/>
  <c r="C270" i="10" s="1"/>
  <c r="B267" i="10"/>
  <c r="C271" i="10" s="1" a="1"/>
  <c r="C271" i="10" s="1"/>
  <c r="B268" i="10"/>
  <c r="C272" i="10" s="1" a="1"/>
  <c r="C272" i="10" s="1"/>
  <c r="B269" i="10"/>
  <c r="C273" i="10" s="1" a="1"/>
  <c r="C273" i="10" s="1"/>
  <c r="B270" i="10"/>
  <c r="C274" i="10" s="1" a="1"/>
  <c r="C274" i="10" s="1"/>
  <c r="B271" i="10"/>
  <c r="C275" i="10" s="1" a="1"/>
  <c r="C275" i="10" s="1"/>
  <c r="B272" i="10"/>
  <c r="C276" i="10" s="1" a="1"/>
  <c r="C276" i="10" s="1"/>
  <c r="B273" i="10"/>
  <c r="C277" i="10" s="1" a="1"/>
  <c r="C277" i="10" s="1"/>
  <c r="B274" i="10"/>
  <c r="C278" i="10" s="1" a="1"/>
  <c r="C278" i="10" s="1"/>
  <c r="B275" i="10"/>
  <c r="C279" i="10" s="1" a="1"/>
  <c r="C279" i="10" s="1"/>
  <c r="B276" i="10"/>
  <c r="C280" i="10" s="1" a="1"/>
  <c r="C280" i="10" s="1"/>
  <c r="B277" i="10"/>
  <c r="C281" i="10" s="1" a="1"/>
  <c r="C281" i="10" s="1"/>
  <c r="B278" i="10"/>
  <c r="C282" i="10" s="1" a="1"/>
  <c r="C282" i="10" s="1"/>
  <c r="B279" i="10"/>
  <c r="C283" i="10" s="1" a="1"/>
  <c r="C283" i="10" s="1"/>
  <c r="B280" i="10"/>
  <c r="C284" i="10" s="1" a="1"/>
  <c r="C284" i="10" s="1"/>
  <c r="B281" i="10"/>
  <c r="C285" i="10" s="1" a="1"/>
  <c r="C285" i="10" s="1"/>
  <c r="B282" i="10"/>
  <c r="C286" i="10" s="1" a="1"/>
  <c r="C286" i="10" s="1"/>
  <c r="B283" i="10"/>
  <c r="C287" i="10" s="1" a="1"/>
  <c r="C287" i="10" s="1"/>
  <c r="B284" i="10"/>
  <c r="C288" i="10" s="1" a="1"/>
  <c r="C288" i="10" s="1"/>
  <c r="B285" i="10"/>
  <c r="C289" i="10" s="1" a="1"/>
  <c r="C289" i="10" s="1"/>
  <c r="B286" i="10"/>
  <c r="C290" i="10" s="1" a="1"/>
  <c r="C290" i="10" s="1"/>
  <c r="B287" i="10"/>
  <c r="C291" i="10" s="1" a="1"/>
  <c r="C291" i="10" s="1"/>
  <c r="B288" i="10"/>
  <c r="C292" i="10" s="1" a="1"/>
  <c r="C292" i="10" s="1"/>
  <c r="B289" i="10"/>
  <c r="C293" i="10" s="1" a="1"/>
  <c r="C293" i="10" s="1"/>
  <c r="B290" i="10"/>
  <c r="C294" i="10" s="1" a="1"/>
  <c r="C294" i="10" s="1"/>
  <c r="B291" i="10"/>
  <c r="C295" i="10" s="1" a="1"/>
  <c r="C295" i="10" s="1"/>
  <c r="B292" i="10"/>
  <c r="C296" i="10" s="1" a="1"/>
  <c r="C296" i="10" s="1"/>
  <c r="B293" i="10"/>
  <c r="C297" i="10" s="1" a="1"/>
  <c r="C297" i="10" s="1"/>
  <c r="B294" i="10"/>
  <c r="C298" i="10" s="1" a="1"/>
  <c r="C298" i="10" s="1"/>
  <c r="B295" i="10"/>
  <c r="C299" i="10" s="1" a="1"/>
  <c r="C299" i="10" s="1"/>
  <c r="B296" i="10"/>
  <c r="C300" i="10" s="1" a="1"/>
  <c r="C300" i="10" s="1"/>
  <c r="B297" i="10"/>
  <c r="C301" i="10" s="1" a="1"/>
  <c r="C301" i="10" s="1"/>
  <c r="B298" i="10"/>
  <c r="C302" i="10" s="1" a="1"/>
  <c r="C302" i="10" s="1"/>
  <c r="B299" i="10"/>
  <c r="C303" i="10" s="1" a="1"/>
  <c r="C303" i="10" s="1"/>
  <c r="B300" i="10"/>
  <c r="C304" i="10" s="1" a="1"/>
  <c r="C304" i="10" s="1"/>
  <c r="B301" i="10"/>
  <c r="C305" i="10" s="1" a="1"/>
  <c r="C305" i="10" s="1"/>
  <c r="B302" i="10"/>
  <c r="C306" i="10" s="1" a="1"/>
  <c r="C306" i="10" s="1"/>
  <c r="B303" i="10"/>
  <c r="C307" i="10" s="1" a="1"/>
  <c r="C307" i="10" s="1"/>
  <c r="B304" i="10"/>
  <c r="C308" i="10" s="1" a="1"/>
  <c r="C308" i="10" s="1"/>
  <c r="B305" i="10"/>
  <c r="C309" i="10" s="1" a="1"/>
  <c r="C309" i="10" s="1"/>
  <c r="B306" i="10"/>
  <c r="C310" i="10" s="1" a="1"/>
  <c r="C310" i="10" s="1"/>
  <c r="B307" i="10"/>
  <c r="C311" i="10" s="1" a="1"/>
  <c r="C311" i="10" s="1"/>
  <c r="B308" i="10"/>
  <c r="C312" i="10" s="1" a="1"/>
  <c r="C312" i="10" s="1"/>
  <c r="B309" i="10"/>
  <c r="C313" i="10" s="1" a="1"/>
  <c r="C313" i="10" s="1"/>
  <c r="B310" i="10"/>
  <c r="C314" i="10" s="1" a="1"/>
  <c r="C314" i="10" s="1"/>
  <c r="B311" i="10"/>
  <c r="C315" i="10" s="1" a="1"/>
  <c r="C315" i="10" s="1"/>
  <c r="B312" i="10"/>
  <c r="C316" i="10" s="1" a="1"/>
  <c r="C316" i="10" s="1"/>
  <c r="B313" i="10"/>
  <c r="C317" i="10" s="1" a="1"/>
  <c r="C317" i="10" s="1"/>
  <c r="B314" i="10"/>
  <c r="C318" i="10" s="1" a="1"/>
  <c r="C318" i="10" s="1"/>
  <c r="B315" i="10"/>
  <c r="C319" i="10" s="1" a="1"/>
  <c r="C319" i="10" s="1"/>
  <c r="B316" i="10"/>
  <c r="C320" i="10" s="1" a="1"/>
  <c r="C320" i="10" s="1"/>
  <c r="B317" i="10"/>
  <c r="C321" i="10" s="1" a="1"/>
  <c r="C321" i="10" s="1"/>
  <c r="B318" i="10"/>
  <c r="C322" i="10" s="1" a="1"/>
  <c r="C322" i="10" s="1"/>
  <c r="B319" i="10"/>
  <c r="C323" i="10" s="1" a="1"/>
  <c r="C323" i="10" s="1"/>
  <c r="B320" i="10"/>
  <c r="C324" i="10" s="1" a="1"/>
  <c r="C324" i="10" s="1"/>
  <c r="B321" i="10"/>
  <c r="C325" i="10" s="1" a="1"/>
  <c r="C325" i="10" s="1"/>
  <c r="B322" i="10"/>
  <c r="C326" i="10" s="1" a="1"/>
  <c r="C326" i="10" s="1"/>
  <c r="B323" i="10"/>
  <c r="C327" i="10" s="1" a="1"/>
  <c r="C327" i="10" s="1"/>
  <c r="B324" i="10"/>
  <c r="C328" i="10" s="1" a="1"/>
  <c r="C328" i="10" s="1"/>
  <c r="B325" i="10"/>
  <c r="C329" i="10" s="1" a="1"/>
  <c r="C329" i="10" s="1"/>
  <c r="B326" i="10"/>
  <c r="C330" i="10" s="1" a="1"/>
  <c r="C330" i="10" s="1"/>
  <c r="B327" i="10"/>
  <c r="C331" i="10" s="1" a="1"/>
  <c r="C331" i="10" s="1"/>
  <c r="B328" i="10"/>
  <c r="C332" i="10" s="1" a="1"/>
  <c r="C332" i="10" s="1"/>
  <c r="B329" i="10"/>
  <c r="C333" i="10" s="1" a="1"/>
  <c r="C333" i="10" s="1"/>
  <c r="B330" i="10"/>
  <c r="C334" i="10" s="1" a="1"/>
  <c r="C334" i="10" s="1"/>
  <c r="B331" i="10"/>
  <c r="C335" i="10" s="1" a="1"/>
  <c r="C335" i="10" s="1"/>
  <c r="B332" i="10"/>
  <c r="C336" i="10" s="1" a="1"/>
  <c r="C336" i="10" s="1"/>
  <c r="B333" i="10"/>
  <c r="C337" i="10" s="1" a="1"/>
  <c r="C337" i="10" s="1"/>
  <c r="B334" i="10"/>
  <c r="C338" i="10" s="1" a="1"/>
  <c r="C338" i="10" s="1"/>
  <c r="B335" i="10"/>
  <c r="C339" i="10" s="1" a="1"/>
  <c r="C339" i="10" s="1"/>
  <c r="B336" i="10"/>
  <c r="C340" i="10" s="1" a="1"/>
  <c r="C340" i="10" s="1"/>
  <c r="B337" i="10"/>
  <c r="C341" i="10" s="1" a="1"/>
  <c r="C341" i="10" s="1"/>
  <c r="B338" i="10"/>
  <c r="C342" i="10" s="1" a="1"/>
  <c r="C342" i="10" s="1"/>
  <c r="B339" i="10"/>
  <c r="C343" i="10" s="1" a="1"/>
  <c r="C343" i="10" s="1"/>
  <c r="B340" i="10"/>
  <c r="C344" i="10" s="1" a="1"/>
  <c r="C344" i="10" s="1"/>
  <c r="B341" i="10"/>
  <c r="C345" i="10" s="1" a="1"/>
  <c r="C345" i="10" s="1"/>
  <c r="B342" i="10"/>
  <c r="C346" i="10" s="1" a="1"/>
  <c r="C346" i="10" s="1"/>
  <c r="B343" i="10"/>
  <c r="C347" i="10" s="1" a="1"/>
  <c r="C347" i="10" s="1"/>
  <c r="B344" i="10"/>
  <c r="C348" i="10" s="1" a="1"/>
  <c r="C348" i="10" s="1"/>
  <c r="B345" i="10"/>
  <c r="C349" i="10" s="1" a="1"/>
  <c r="C349" i="10" s="1"/>
  <c r="B346" i="10"/>
  <c r="C350" i="10" s="1" a="1"/>
  <c r="C350" i="10" s="1"/>
  <c r="B347" i="10"/>
  <c r="C351" i="10" s="1" a="1"/>
  <c r="C351" i="10" s="1"/>
  <c r="B348" i="10"/>
  <c r="C352" i="10" s="1" a="1"/>
  <c r="C352" i="10" s="1"/>
  <c r="B349" i="10"/>
  <c r="C353" i="10" s="1" a="1"/>
  <c r="C353" i="10" s="1"/>
  <c r="B350" i="10"/>
  <c r="C354" i="10" s="1" a="1"/>
  <c r="C354" i="10" s="1"/>
  <c r="B351" i="10"/>
  <c r="C355" i="10" s="1" a="1"/>
  <c r="C355" i="10" s="1"/>
  <c r="B352" i="10"/>
  <c r="C356" i="10" s="1" a="1"/>
  <c r="C356" i="10" s="1"/>
  <c r="B353" i="10"/>
  <c r="C357" i="10" s="1" a="1"/>
  <c r="C357" i="10" s="1"/>
  <c r="B354" i="10"/>
  <c r="C358" i="10" s="1" a="1"/>
  <c r="C358" i="10" s="1"/>
  <c r="B355" i="10"/>
  <c r="C359" i="10" s="1" a="1"/>
  <c r="C359" i="10" s="1"/>
  <c r="B356" i="10"/>
  <c r="C360" i="10" s="1" a="1"/>
  <c r="C360" i="10" s="1"/>
  <c r="B357" i="10"/>
  <c r="C361" i="10" s="1" a="1"/>
  <c r="C361" i="10" s="1"/>
  <c r="B358" i="10"/>
  <c r="C362" i="10" s="1" a="1"/>
  <c r="C362" i="10" s="1"/>
  <c r="B359" i="10"/>
  <c r="C363" i="10" s="1" a="1"/>
  <c r="C363" i="10" s="1"/>
  <c r="B360" i="10"/>
  <c r="C364" i="10" s="1" a="1"/>
  <c r="C364" i="10" s="1"/>
  <c r="B361" i="10"/>
  <c r="C365" i="10" s="1" a="1"/>
  <c r="C365" i="10" s="1"/>
  <c r="B362" i="10"/>
  <c r="C366" i="10" s="1" a="1"/>
  <c r="C366" i="10" s="1"/>
  <c r="B363" i="10"/>
  <c r="C367" i="10" s="1" a="1"/>
  <c r="C367" i="10" s="1"/>
  <c r="B364" i="10"/>
  <c r="C368" i="10" s="1" a="1"/>
  <c r="C368" i="10" s="1"/>
  <c r="B365" i="10"/>
  <c r="C369" i="10" s="1" a="1"/>
  <c r="C369" i="10" s="1"/>
  <c r="B366" i="10"/>
  <c r="C370" i="10" s="1" a="1"/>
  <c r="C370" i="10" s="1"/>
  <c r="B367" i="10"/>
  <c r="C371" i="10" s="1" a="1"/>
  <c r="C371" i="10" s="1"/>
  <c r="B368" i="10"/>
  <c r="C372" i="10" s="1" a="1"/>
  <c r="C372" i="10" s="1"/>
  <c r="B369" i="10"/>
  <c r="C373" i="10" s="1" a="1"/>
  <c r="C373" i="10" s="1"/>
  <c r="B370" i="10"/>
  <c r="C374" i="10" s="1" a="1"/>
  <c r="C374" i="10" s="1"/>
  <c r="B371" i="10"/>
  <c r="C375" i="10" s="1" a="1"/>
  <c r="C375" i="10" s="1"/>
  <c r="B372" i="10"/>
  <c r="C376" i="10" s="1" a="1"/>
  <c r="C376" i="10" s="1"/>
  <c r="B373" i="10"/>
  <c r="C377" i="10" s="1" a="1"/>
  <c r="C377" i="10" s="1"/>
  <c r="B374" i="10"/>
  <c r="C378" i="10" s="1" a="1"/>
  <c r="C378" i="10" s="1"/>
  <c r="B375" i="10"/>
  <c r="C379" i="10" s="1" a="1"/>
  <c r="C379" i="10" s="1"/>
  <c r="B376" i="10"/>
  <c r="C380" i="10" s="1" a="1"/>
  <c r="C380" i="10" s="1"/>
  <c r="B377" i="10"/>
  <c r="C381" i="10" s="1" a="1"/>
  <c r="C381" i="10" s="1"/>
  <c r="B378" i="10"/>
  <c r="C382" i="10" s="1" a="1"/>
  <c r="C382" i="10" s="1"/>
  <c r="B379" i="10"/>
  <c r="C383" i="10" s="1" a="1"/>
  <c r="C383" i="10" s="1"/>
  <c r="B380" i="10"/>
  <c r="C384" i="10" s="1" a="1"/>
  <c r="C384" i="10" s="1"/>
  <c r="B381" i="10"/>
  <c r="C385" i="10" s="1" a="1"/>
  <c r="C385" i="10" s="1"/>
  <c r="B382" i="10"/>
  <c r="C386" i="10" s="1" a="1"/>
  <c r="C386" i="10" s="1"/>
  <c r="B383" i="10"/>
  <c r="C387" i="10" s="1" a="1"/>
  <c r="C387" i="10" s="1"/>
  <c r="B384" i="10"/>
  <c r="C388" i="10" s="1" a="1"/>
  <c r="C388" i="10" s="1"/>
  <c r="B385" i="10"/>
  <c r="C389" i="10" s="1" a="1"/>
  <c r="C389" i="10" s="1"/>
  <c r="B386" i="10"/>
  <c r="C390" i="10" s="1" a="1"/>
  <c r="C390" i="10" s="1"/>
  <c r="B387" i="10"/>
  <c r="C391" i="10" s="1" a="1"/>
  <c r="C391" i="10" s="1"/>
  <c r="B388" i="10"/>
  <c r="C392" i="10" s="1" a="1"/>
  <c r="C392" i="10" s="1"/>
  <c r="B389" i="10"/>
  <c r="C393" i="10" s="1" a="1"/>
  <c r="C393" i="10" s="1"/>
  <c r="B390" i="10"/>
  <c r="C394" i="10" s="1" a="1"/>
  <c r="C394" i="10" s="1"/>
  <c r="B391" i="10"/>
  <c r="C395" i="10" s="1" a="1"/>
  <c r="C395" i="10" s="1"/>
  <c r="B392" i="10"/>
  <c r="C396" i="10" s="1" a="1"/>
  <c r="C396" i="10" s="1"/>
  <c r="B393" i="10"/>
  <c r="C397" i="10" s="1" a="1"/>
  <c r="C397" i="10" s="1"/>
  <c r="B394" i="10"/>
  <c r="C398" i="10" s="1" a="1"/>
  <c r="C398" i="10" s="1"/>
  <c r="B395" i="10"/>
  <c r="C399" i="10" s="1" a="1"/>
  <c r="C399" i="10" s="1"/>
  <c r="B396" i="10"/>
  <c r="C400" i="10" s="1" a="1"/>
  <c r="C400" i="10" s="1"/>
  <c r="B397" i="10"/>
  <c r="C401" i="10" s="1" a="1"/>
  <c r="C401" i="10" s="1"/>
  <c r="B398" i="10"/>
  <c r="C402" i="10" s="1" a="1"/>
  <c r="C402" i="10" s="1"/>
  <c r="B399" i="10"/>
  <c r="C403" i="10" s="1" a="1"/>
  <c r="C403" i="10" s="1"/>
  <c r="B400" i="10"/>
  <c r="C404" i="10" s="1" a="1"/>
  <c r="C404" i="10" s="1"/>
  <c r="B401" i="10"/>
  <c r="C405" i="10" s="1" a="1"/>
  <c r="C405" i="10" s="1"/>
  <c r="B402" i="10"/>
  <c r="C406" i="10" s="1" a="1"/>
  <c r="C406" i="10" s="1"/>
  <c r="B403" i="10"/>
  <c r="C407" i="10" s="1" a="1"/>
  <c r="C407" i="10" s="1"/>
  <c r="B404" i="10"/>
  <c r="C408" i="10" s="1" a="1"/>
  <c r="C408" i="10" s="1"/>
  <c r="B405" i="10"/>
  <c r="C409" i="10" s="1" a="1"/>
  <c r="C409" i="10" s="1"/>
  <c r="B406" i="10"/>
  <c r="C410" i="10" s="1" a="1"/>
  <c r="C410" i="10" s="1"/>
  <c r="B407" i="10"/>
  <c r="C411" i="10" s="1" a="1"/>
  <c r="C411" i="10" s="1"/>
  <c r="B408" i="10"/>
  <c r="C412" i="10" s="1" a="1"/>
  <c r="C412" i="10" s="1"/>
  <c r="B409" i="10"/>
  <c r="C413" i="10" s="1" a="1"/>
  <c r="C413" i="10" s="1"/>
  <c r="B410" i="10"/>
  <c r="C414" i="10" s="1" a="1"/>
  <c r="C414" i="10" s="1"/>
  <c r="B411" i="10"/>
  <c r="C415" i="10" s="1" a="1"/>
  <c r="C415" i="10" s="1"/>
  <c r="B412" i="10"/>
  <c r="C416" i="10" s="1" a="1"/>
  <c r="C416" i="10" s="1"/>
  <c r="B413" i="10"/>
  <c r="C417" i="10" s="1" a="1"/>
  <c r="C417" i="10" s="1"/>
  <c r="B414" i="10"/>
  <c r="C418" i="10" s="1" a="1"/>
  <c r="C418" i="10" s="1"/>
  <c r="B415" i="10"/>
  <c r="C419" i="10" s="1" a="1"/>
  <c r="C419" i="10" s="1"/>
  <c r="B416" i="10"/>
  <c r="C420" i="10" s="1" a="1"/>
  <c r="C420" i="10" s="1"/>
  <c r="B417" i="10"/>
  <c r="C421" i="10" s="1" a="1"/>
  <c r="C421" i="10" s="1"/>
  <c r="B418" i="10"/>
  <c r="C422" i="10" s="1" a="1"/>
  <c r="C422" i="10" s="1"/>
  <c r="B419" i="10"/>
  <c r="C423" i="10" s="1" a="1"/>
  <c r="C423" i="10" s="1"/>
  <c r="B420" i="10"/>
  <c r="C424" i="10" s="1" a="1"/>
  <c r="C424" i="10" s="1"/>
  <c r="B421" i="10"/>
  <c r="C425" i="10" s="1" a="1"/>
  <c r="C425" i="10" s="1"/>
  <c r="B422" i="10"/>
  <c r="C426" i="10" s="1" a="1"/>
  <c r="C426" i="10" s="1"/>
  <c r="B423" i="10"/>
  <c r="C427" i="10" s="1" a="1"/>
  <c r="C427" i="10" s="1"/>
  <c r="B424" i="10"/>
  <c r="C428" i="10" s="1" a="1"/>
  <c r="C428" i="10" s="1"/>
  <c r="B425" i="10"/>
  <c r="C429" i="10" s="1" a="1"/>
  <c r="C429" i="10" s="1"/>
  <c r="B426" i="10"/>
  <c r="C430" i="10" s="1" a="1"/>
  <c r="C430" i="10" s="1"/>
  <c r="B427" i="10"/>
  <c r="C431" i="10" s="1" a="1"/>
  <c r="C431" i="10" s="1"/>
  <c r="B428" i="10"/>
  <c r="C432" i="10" s="1" a="1"/>
  <c r="C432" i="10" s="1"/>
  <c r="B429" i="10"/>
  <c r="C433" i="10" s="1" a="1"/>
  <c r="C433" i="10" s="1"/>
  <c r="B430" i="10"/>
  <c r="C434" i="10" s="1" a="1"/>
  <c r="C434" i="10" s="1"/>
  <c r="B431" i="10"/>
  <c r="C435" i="10" s="1" a="1"/>
  <c r="C435" i="10" s="1"/>
  <c r="B432" i="10"/>
  <c r="C436" i="10" s="1" a="1"/>
  <c r="C436" i="10" s="1"/>
  <c r="B433" i="10"/>
  <c r="C437" i="10" s="1" a="1"/>
  <c r="C437" i="10" s="1"/>
  <c r="B434" i="10"/>
  <c r="C438" i="10" s="1" a="1"/>
  <c r="C438" i="10" s="1"/>
  <c r="B435" i="10"/>
  <c r="C439" i="10" s="1" a="1"/>
  <c r="C439" i="10" s="1"/>
  <c r="B436" i="10"/>
  <c r="C440" i="10" s="1" a="1"/>
  <c r="C440" i="10" s="1"/>
  <c r="B437" i="10"/>
  <c r="C441" i="10" s="1" a="1"/>
  <c r="C441" i="10" s="1"/>
  <c r="B438" i="10"/>
  <c r="C442" i="10" s="1" a="1"/>
  <c r="C442" i="10" s="1"/>
  <c r="B439" i="10"/>
  <c r="C443" i="10" s="1" a="1"/>
  <c r="C443" i="10" s="1"/>
  <c r="B440" i="10"/>
  <c r="C444" i="10" s="1" a="1"/>
  <c r="C444" i="10" s="1"/>
  <c r="B441" i="10"/>
  <c r="C445" i="10" s="1" a="1"/>
  <c r="C445" i="10" s="1"/>
  <c r="B442" i="10"/>
  <c r="C446" i="10" s="1" a="1"/>
  <c r="C446" i="10" s="1"/>
  <c r="B443" i="10"/>
  <c r="C447" i="10" s="1" a="1"/>
  <c r="C447" i="10" s="1"/>
  <c r="B444" i="10"/>
  <c r="C448" i="10" s="1" a="1"/>
  <c r="C448" i="10" s="1"/>
  <c r="B445" i="10"/>
  <c r="C449" i="10" s="1" a="1"/>
  <c r="C449" i="10" s="1"/>
  <c r="B446" i="10"/>
  <c r="C450" i="10" s="1" a="1"/>
  <c r="C450" i="10" s="1"/>
  <c r="B447" i="10"/>
  <c r="C451" i="10" s="1" a="1"/>
  <c r="C451" i="10" s="1"/>
  <c r="B448" i="10"/>
  <c r="C452" i="10" s="1" a="1"/>
  <c r="C452" i="10" s="1"/>
  <c r="B449" i="10"/>
  <c r="C453" i="10" s="1" a="1"/>
  <c r="C453" i="10" s="1"/>
  <c r="B450" i="10"/>
  <c r="C454" i="10" s="1" a="1"/>
  <c r="C454" i="10" s="1"/>
  <c r="B451" i="10"/>
  <c r="C455" i="10" s="1" a="1"/>
  <c r="C455" i="10" s="1"/>
  <c r="B452" i="10"/>
  <c r="C456" i="10" s="1" a="1"/>
  <c r="C456" i="10" s="1"/>
  <c r="B453" i="10"/>
  <c r="C457" i="10" s="1" a="1"/>
  <c r="C457" i="10" s="1"/>
  <c r="B454" i="10"/>
  <c r="C458" i="10" s="1" a="1"/>
  <c r="C458" i="10" s="1"/>
  <c r="B455" i="10"/>
  <c r="C459" i="10" s="1" a="1"/>
  <c r="C459" i="10" s="1"/>
  <c r="B456" i="10"/>
  <c r="C460" i="10" s="1" a="1"/>
  <c r="C460" i="10" s="1"/>
  <c r="B457" i="10"/>
  <c r="C461" i="10" s="1" a="1"/>
  <c r="C461" i="10" s="1"/>
  <c r="B458" i="10"/>
  <c r="C462" i="10" s="1" a="1"/>
  <c r="C462" i="10" s="1"/>
  <c r="B459" i="10"/>
  <c r="C463" i="10" s="1" a="1"/>
  <c r="C463" i="10" s="1"/>
  <c r="B460" i="10"/>
  <c r="C464" i="10" s="1" a="1"/>
  <c r="C464" i="10" s="1"/>
  <c r="B461" i="10"/>
  <c r="C465" i="10" s="1" a="1"/>
  <c r="C465" i="10" s="1"/>
  <c r="B462" i="10"/>
  <c r="C466" i="10" s="1" a="1"/>
  <c r="C466" i="10" s="1"/>
  <c r="B463" i="10"/>
  <c r="C467" i="10" s="1" a="1"/>
  <c r="C467" i="10" s="1"/>
  <c r="B464" i="10"/>
  <c r="C468" i="10" s="1" a="1"/>
  <c r="C468" i="10" s="1"/>
  <c r="B465" i="10"/>
  <c r="C469" i="10" s="1" a="1"/>
  <c r="C469" i="10" s="1"/>
  <c r="B466" i="10"/>
  <c r="C470" i="10" s="1" a="1"/>
  <c r="C470" i="10" s="1"/>
  <c r="B467" i="10"/>
  <c r="C471" i="10" s="1" a="1"/>
  <c r="C471" i="10" s="1"/>
  <c r="B468" i="10"/>
  <c r="C472" i="10" s="1" a="1"/>
  <c r="C472" i="10" s="1"/>
  <c r="B469" i="10"/>
  <c r="C473" i="10" s="1" a="1"/>
  <c r="C473" i="10" s="1"/>
  <c r="B470" i="10"/>
  <c r="C474" i="10" s="1" a="1"/>
  <c r="C474" i="10" s="1"/>
  <c r="B471" i="10"/>
  <c r="C475" i="10" s="1" a="1"/>
  <c r="C475" i="10" s="1"/>
  <c r="B472" i="10"/>
  <c r="C476" i="10" s="1" a="1"/>
  <c r="C476" i="10" s="1"/>
  <c r="B473" i="10"/>
  <c r="C477" i="10" s="1" a="1"/>
  <c r="C477" i="10" s="1"/>
  <c r="B474" i="10"/>
  <c r="C478" i="10" s="1" a="1"/>
  <c r="C478" i="10" s="1"/>
  <c r="B475" i="10"/>
  <c r="C479" i="10" s="1" a="1"/>
  <c r="C479" i="10" s="1"/>
  <c r="B476" i="10"/>
  <c r="C480" i="10" s="1" a="1"/>
  <c r="C480" i="10" s="1"/>
  <c r="B477" i="10"/>
  <c r="C481" i="10" s="1" a="1"/>
  <c r="C481" i="10" s="1"/>
  <c r="B478" i="10"/>
  <c r="C482" i="10" s="1" a="1"/>
  <c r="C482" i="10" s="1"/>
  <c r="B479" i="10"/>
  <c r="C483" i="10" s="1" a="1"/>
  <c r="C483" i="10" s="1"/>
  <c r="B480" i="10"/>
  <c r="C484" i="10" s="1" a="1"/>
  <c r="C484" i="10" s="1"/>
  <c r="B481" i="10"/>
  <c r="C485" i="10" s="1" a="1"/>
  <c r="C485" i="10" s="1"/>
  <c r="B482" i="10"/>
  <c r="C486" i="10" s="1" a="1"/>
  <c r="C486" i="10" s="1"/>
  <c r="B483" i="10"/>
  <c r="C487" i="10" s="1" a="1"/>
  <c r="C487" i="10" s="1"/>
  <c r="B484" i="10"/>
  <c r="C488" i="10" s="1" a="1"/>
  <c r="C488" i="10" s="1"/>
  <c r="B485" i="10"/>
  <c r="C489" i="10" s="1" a="1"/>
  <c r="C489" i="10" s="1"/>
  <c r="B486" i="10"/>
  <c r="C490" i="10" s="1" a="1"/>
  <c r="C490" i="10" s="1"/>
  <c r="B487" i="10"/>
  <c r="C491" i="10" s="1" a="1"/>
  <c r="C491" i="10" s="1"/>
  <c r="B488" i="10"/>
  <c r="C492" i="10" s="1" a="1"/>
  <c r="C492" i="10" s="1"/>
  <c r="B489" i="10"/>
  <c r="C493" i="10" s="1" a="1"/>
  <c r="C493" i="10" s="1"/>
  <c r="B490" i="10"/>
  <c r="C494" i="10" s="1" a="1"/>
  <c r="C494" i="10" s="1"/>
  <c r="B491" i="10"/>
  <c r="C495" i="10" s="1" a="1"/>
  <c r="C495" i="10" s="1"/>
  <c r="B492" i="10"/>
  <c r="C496" i="10" s="1" a="1"/>
  <c r="C496" i="10" s="1"/>
  <c r="B493" i="10"/>
  <c r="C497" i="10" s="1" a="1"/>
  <c r="C497" i="10" s="1"/>
  <c r="B494" i="10"/>
  <c r="C498" i="10" s="1" a="1"/>
  <c r="C498" i="10" s="1"/>
  <c r="B495" i="10"/>
  <c r="C499" i="10" s="1" a="1"/>
  <c r="C499" i="10" s="1"/>
  <c r="B496" i="10"/>
  <c r="C500" i="10" s="1" a="1"/>
  <c r="C500" i="10" s="1"/>
  <c r="B497" i="10"/>
  <c r="C501" i="10" s="1" a="1"/>
  <c r="C501" i="10" s="1"/>
  <c r="B498" i="10"/>
  <c r="C502" i="10" s="1" a="1"/>
  <c r="C502" i="10" s="1"/>
  <c r="B499" i="10"/>
  <c r="C503" i="10" s="1" a="1"/>
  <c r="C503" i="10" s="1"/>
  <c r="B500" i="10"/>
  <c r="C504" i="10" s="1" a="1"/>
  <c r="C504" i="10" s="1"/>
  <c r="B501" i="10"/>
  <c r="C505" i="10" s="1" a="1"/>
  <c r="C505" i="10" s="1"/>
  <c r="B502" i="10"/>
  <c r="C506" i="10" s="1" a="1"/>
  <c r="C506" i="10" s="1"/>
  <c r="B503" i="10"/>
  <c r="C507" i="10" s="1" a="1"/>
  <c r="C507" i="10" s="1"/>
  <c r="B504" i="10"/>
  <c r="C508" i="10" s="1" a="1"/>
  <c r="C508" i="10" s="1"/>
  <c r="B505" i="10"/>
  <c r="C509" i="10" s="1" a="1"/>
  <c r="C509" i="10" s="1"/>
  <c r="B506" i="10"/>
  <c r="C510" i="10" s="1" a="1"/>
  <c r="C510" i="10" s="1"/>
  <c r="B507" i="10"/>
  <c r="C511" i="10" s="1" a="1"/>
  <c r="C511" i="10" s="1"/>
  <c r="B508" i="10"/>
  <c r="C512" i="10" s="1" a="1"/>
  <c r="C512" i="10" s="1"/>
  <c r="B509" i="10"/>
  <c r="C513" i="10" s="1" a="1"/>
  <c r="C513" i="10" s="1"/>
  <c r="B510" i="10"/>
  <c r="C514" i="10" s="1" a="1"/>
  <c r="C514" i="10" s="1"/>
  <c r="B511" i="10"/>
  <c r="C515" i="10" s="1" a="1"/>
  <c r="C515" i="10" s="1"/>
  <c r="B512" i="10"/>
  <c r="C516" i="10" s="1" a="1"/>
  <c r="C516" i="10" s="1"/>
  <c r="B513" i="10"/>
  <c r="C517" i="10" s="1" a="1"/>
  <c r="C517" i="10" s="1"/>
  <c r="B514" i="10"/>
  <c r="C518" i="10" s="1" a="1"/>
  <c r="C518" i="10" s="1"/>
  <c r="B515" i="10"/>
  <c r="C519" i="10" s="1" a="1"/>
  <c r="C519" i="10" s="1"/>
  <c r="B516" i="10"/>
  <c r="C520" i="10" s="1" a="1"/>
  <c r="C520" i="10" s="1"/>
  <c r="B517" i="10"/>
  <c r="C521" i="10" s="1" a="1"/>
  <c r="C521" i="10" s="1"/>
  <c r="B518" i="10"/>
  <c r="C522" i="10" s="1" a="1"/>
  <c r="C522" i="10" s="1"/>
  <c r="B519" i="10"/>
  <c r="C523" i="10" s="1" a="1"/>
  <c r="C523" i="10" s="1"/>
  <c r="B520" i="10"/>
  <c r="C524" i="10" s="1" a="1"/>
  <c r="C524" i="10" s="1"/>
  <c r="B521" i="10"/>
  <c r="C525" i="10" s="1" a="1"/>
  <c r="C525" i="10" s="1"/>
  <c r="B522" i="10"/>
  <c r="C526" i="10" s="1" a="1"/>
  <c r="C526" i="10" s="1"/>
  <c r="B523" i="10"/>
  <c r="C527" i="10" s="1" a="1"/>
  <c r="C527" i="10" s="1"/>
  <c r="B524" i="10"/>
  <c r="C528" i="10" s="1" a="1"/>
  <c r="C528" i="10" s="1"/>
  <c r="B525" i="10"/>
  <c r="C529" i="10" s="1" a="1"/>
  <c r="C529" i="10" s="1"/>
  <c r="B526" i="10"/>
  <c r="C530" i="10" s="1" a="1"/>
  <c r="C530" i="10" s="1"/>
  <c r="B527" i="10"/>
  <c r="C531" i="10" s="1" a="1"/>
  <c r="C531" i="10" s="1"/>
  <c r="B528" i="10"/>
  <c r="C532" i="10" s="1" a="1"/>
  <c r="C532" i="10" s="1"/>
  <c r="B529" i="10"/>
  <c r="C533" i="10" s="1" a="1"/>
  <c r="C533" i="10" s="1"/>
  <c r="B530" i="10"/>
  <c r="C534" i="10" s="1" a="1"/>
  <c r="C534" i="10" s="1"/>
  <c r="B531" i="10"/>
  <c r="C535" i="10" s="1" a="1"/>
  <c r="C535" i="10" s="1"/>
  <c r="B532" i="10"/>
  <c r="C536" i="10" s="1" a="1"/>
  <c r="C536" i="10" s="1"/>
  <c r="B533" i="10"/>
  <c r="C537" i="10" s="1" a="1"/>
  <c r="C537" i="10" s="1"/>
  <c r="B534" i="10"/>
  <c r="C538" i="10" s="1" a="1"/>
  <c r="C538" i="10" s="1"/>
  <c r="B535" i="10"/>
  <c r="C539" i="10" s="1" a="1"/>
  <c r="C539" i="10" s="1"/>
  <c r="B536" i="10"/>
  <c r="C540" i="10" s="1" a="1"/>
  <c r="C540" i="10" s="1"/>
  <c r="B537" i="10"/>
  <c r="C541" i="10" s="1" a="1"/>
  <c r="C541" i="10" s="1"/>
  <c r="B538" i="10"/>
  <c r="C542" i="10" s="1" a="1"/>
  <c r="C542" i="10" s="1"/>
  <c r="B539" i="10"/>
  <c r="C543" i="10" s="1" a="1"/>
  <c r="C543" i="10" s="1"/>
  <c r="B540" i="10"/>
  <c r="C544" i="10" s="1" a="1"/>
  <c r="C544" i="10" s="1"/>
  <c r="B541" i="10"/>
  <c r="C545" i="10" s="1" a="1"/>
  <c r="C545" i="10" s="1"/>
  <c r="B542" i="10"/>
  <c r="C546" i="10" s="1" a="1"/>
  <c r="C546" i="10" s="1"/>
  <c r="B543" i="10"/>
  <c r="C547" i="10" s="1" a="1"/>
  <c r="C547" i="10" s="1"/>
  <c r="B544" i="10"/>
  <c r="C548" i="10" s="1" a="1"/>
  <c r="C548" i="10" s="1"/>
  <c r="B545" i="10"/>
  <c r="C549" i="10" s="1" a="1"/>
  <c r="C549" i="10" s="1"/>
  <c r="B546" i="10"/>
  <c r="C550" i="10" s="1" a="1"/>
  <c r="C550" i="10" s="1"/>
  <c r="B547" i="10"/>
  <c r="C551" i="10" s="1" a="1"/>
  <c r="C551" i="10" s="1"/>
  <c r="B548" i="10"/>
  <c r="C552" i="10" s="1" a="1"/>
  <c r="C552" i="10" s="1"/>
  <c r="B549" i="10"/>
  <c r="C553" i="10" s="1" a="1"/>
  <c r="C553" i="10" s="1"/>
  <c r="B550" i="10"/>
  <c r="C554" i="10" s="1" a="1"/>
  <c r="C554" i="10" s="1"/>
  <c r="B551" i="10"/>
  <c r="C555" i="10" s="1" a="1"/>
  <c r="C555" i="10" s="1"/>
  <c r="B552" i="10"/>
  <c r="C556" i="10" s="1" a="1"/>
  <c r="C556" i="10" s="1"/>
  <c r="B553" i="10"/>
  <c r="C557" i="10" s="1" a="1"/>
  <c r="C557" i="10" s="1"/>
  <c r="B554" i="10"/>
  <c r="C558" i="10" s="1" a="1"/>
  <c r="C558" i="10" s="1"/>
  <c r="B555" i="10"/>
  <c r="C559" i="10" s="1" a="1"/>
  <c r="C559" i="10" s="1"/>
  <c r="B556" i="10"/>
  <c r="C560" i="10" s="1" a="1"/>
  <c r="C560" i="10" s="1"/>
  <c r="B557" i="10"/>
  <c r="C561" i="10" s="1" a="1"/>
  <c r="C561" i="10" s="1"/>
  <c r="B558" i="10"/>
  <c r="C562" i="10" s="1" a="1"/>
  <c r="C562" i="10" s="1"/>
  <c r="B559" i="10"/>
  <c r="C563" i="10" s="1" a="1"/>
  <c r="C563" i="10" s="1"/>
  <c r="B560" i="10"/>
  <c r="C564" i="10" s="1" a="1"/>
  <c r="C564" i="10" s="1"/>
  <c r="B561" i="10"/>
  <c r="C565" i="10" s="1" a="1"/>
  <c r="C565" i="10" s="1"/>
  <c r="B562" i="10"/>
  <c r="C566" i="10" s="1" a="1"/>
  <c r="C566" i="10" s="1"/>
  <c r="B563" i="10"/>
  <c r="C567" i="10" s="1" a="1"/>
  <c r="C567" i="10" s="1"/>
  <c r="B564" i="10"/>
  <c r="C568" i="10" s="1" a="1"/>
  <c r="C568" i="10" s="1"/>
  <c r="B565" i="10"/>
  <c r="C569" i="10" s="1" a="1"/>
  <c r="C569" i="10" s="1"/>
  <c r="B566" i="10"/>
  <c r="C570" i="10" s="1" a="1"/>
  <c r="C570" i="10" s="1"/>
  <c r="B567" i="10"/>
  <c r="C571" i="10" s="1" a="1"/>
  <c r="C571" i="10" s="1"/>
  <c r="B568" i="10"/>
  <c r="C572" i="10" s="1" a="1"/>
  <c r="C572" i="10" s="1"/>
  <c r="B569" i="10"/>
  <c r="C573" i="10" s="1" a="1"/>
  <c r="C573" i="10" s="1"/>
  <c r="B570" i="10"/>
  <c r="C574" i="10" s="1" a="1"/>
  <c r="C574" i="10" s="1"/>
  <c r="B571" i="10"/>
  <c r="C575" i="10" s="1" a="1"/>
  <c r="C575" i="10" s="1"/>
  <c r="B572" i="10"/>
  <c r="C576" i="10" s="1" a="1"/>
  <c r="C576" i="10" s="1"/>
  <c r="B573" i="10"/>
  <c r="C577" i="10" s="1" a="1"/>
  <c r="C577" i="10" s="1"/>
  <c r="B574" i="10"/>
  <c r="C578" i="10" s="1" a="1"/>
  <c r="C578" i="10" s="1"/>
  <c r="B575" i="10"/>
  <c r="C579" i="10" s="1" a="1"/>
  <c r="C579" i="10" s="1"/>
  <c r="B576" i="10"/>
  <c r="C580" i="10" s="1" a="1"/>
  <c r="C580" i="10" s="1"/>
  <c r="B577" i="10"/>
  <c r="C581" i="10" s="1" a="1"/>
  <c r="C581" i="10" s="1"/>
  <c r="B578" i="10"/>
  <c r="C582" i="10" s="1" a="1"/>
  <c r="C582" i="10" s="1"/>
  <c r="B579" i="10"/>
  <c r="C583" i="10" s="1" a="1"/>
  <c r="C583" i="10" s="1"/>
  <c r="B580" i="10"/>
  <c r="C584" i="10" s="1" a="1"/>
  <c r="C584" i="10" s="1"/>
  <c r="B581" i="10"/>
  <c r="C585" i="10" s="1" a="1"/>
  <c r="C585" i="10" s="1"/>
  <c r="B582" i="10"/>
  <c r="C586" i="10" s="1" a="1"/>
  <c r="C586" i="10" s="1"/>
  <c r="B583" i="10"/>
  <c r="C587" i="10" s="1" a="1"/>
  <c r="C587" i="10" s="1"/>
  <c r="B584" i="10"/>
  <c r="C588" i="10" s="1" a="1"/>
  <c r="C588" i="10" s="1"/>
  <c r="B585" i="10"/>
  <c r="C589" i="10" s="1" a="1"/>
  <c r="C589" i="10" s="1"/>
  <c r="B586" i="10"/>
  <c r="C590" i="10" s="1" a="1"/>
  <c r="C590" i="10" s="1"/>
  <c r="B587" i="10"/>
  <c r="C591" i="10" s="1" a="1"/>
  <c r="C591" i="10" s="1"/>
  <c r="B588" i="10"/>
  <c r="C592" i="10" s="1" a="1"/>
  <c r="C592" i="10" s="1"/>
  <c r="B589" i="10"/>
  <c r="C593" i="10" s="1" a="1"/>
  <c r="C593" i="10" s="1"/>
  <c r="B590" i="10"/>
  <c r="C594" i="10" s="1" a="1"/>
  <c r="C594" i="10" s="1"/>
  <c r="B591" i="10"/>
  <c r="C595" i="10" s="1" a="1"/>
  <c r="C595" i="10" s="1"/>
  <c r="B592" i="10"/>
  <c r="C596" i="10" s="1" a="1"/>
  <c r="C596" i="10" s="1"/>
  <c r="B593" i="10"/>
  <c r="C597" i="10" s="1" a="1"/>
  <c r="C597" i="10" s="1"/>
  <c r="B594" i="10"/>
  <c r="C598" i="10" s="1" a="1"/>
  <c r="C598" i="10" s="1"/>
  <c r="B595" i="10"/>
  <c r="C599" i="10" s="1" a="1"/>
  <c r="C599" i="10" s="1"/>
  <c r="B596" i="10"/>
  <c r="C600" i="10" s="1" a="1"/>
  <c r="C600" i="10" s="1"/>
  <c r="B597" i="10"/>
  <c r="C601" i="10" s="1" a="1"/>
  <c r="C601" i="10" s="1"/>
  <c r="B598" i="10"/>
  <c r="C602" i="10" s="1" a="1"/>
  <c r="C602" i="10" s="1"/>
  <c r="B599" i="10"/>
  <c r="C603" i="10" s="1" a="1"/>
  <c r="C603" i="10" s="1"/>
  <c r="B600" i="10"/>
  <c r="C604" i="10" s="1" a="1"/>
  <c r="C604" i="10" s="1"/>
  <c r="B601" i="10"/>
  <c r="C605" i="10" s="1" a="1"/>
  <c r="C605" i="10" s="1"/>
  <c r="B602" i="10"/>
  <c r="C606" i="10" s="1" a="1"/>
  <c r="C606" i="10" s="1"/>
  <c r="B603" i="10"/>
  <c r="C607" i="10" s="1" a="1"/>
  <c r="C607" i="10" s="1"/>
  <c r="B604" i="10"/>
  <c r="C608" i="10" s="1" a="1"/>
  <c r="C608" i="10" s="1"/>
  <c r="B605" i="10"/>
  <c r="C609" i="10" s="1" a="1"/>
  <c r="C609" i="10" s="1"/>
  <c r="B606" i="10"/>
  <c r="C610" i="10" s="1" a="1"/>
  <c r="C610" i="10" s="1"/>
  <c r="B607" i="10"/>
  <c r="C611" i="10" s="1" a="1"/>
  <c r="C611" i="10" s="1"/>
  <c r="B608" i="10"/>
  <c r="C612" i="10" s="1" a="1"/>
  <c r="C612" i="10" s="1"/>
  <c r="B609" i="10"/>
  <c r="C613" i="10" s="1" a="1"/>
  <c r="C613" i="10" s="1"/>
  <c r="B610" i="10"/>
  <c r="C614" i="10" s="1" a="1"/>
  <c r="C614" i="10" s="1"/>
  <c r="B611" i="10"/>
  <c r="C615" i="10" s="1" a="1"/>
  <c r="C615" i="10" s="1"/>
  <c r="B612" i="10"/>
  <c r="C616" i="10" s="1" a="1"/>
  <c r="C616" i="10" s="1"/>
  <c r="B613" i="10"/>
  <c r="C617" i="10" s="1" a="1"/>
  <c r="C617" i="10" s="1"/>
  <c r="B614" i="10"/>
  <c r="C618" i="10" s="1" a="1"/>
  <c r="C618" i="10" s="1"/>
  <c r="B615" i="10"/>
  <c r="C619" i="10" s="1" a="1"/>
  <c r="C619" i="10" s="1"/>
  <c r="B616" i="10"/>
  <c r="C620" i="10" s="1" a="1"/>
  <c r="C620" i="10" s="1"/>
  <c r="B617" i="10"/>
  <c r="C621" i="10" s="1" a="1"/>
  <c r="C621" i="10" s="1"/>
  <c r="B618" i="10"/>
  <c r="C622" i="10" s="1" a="1"/>
  <c r="C622" i="10" s="1"/>
  <c r="B619" i="10"/>
  <c r="C623" i="10" s="1" a="1"/>
  <c r="C623" i="10" s="1"/>
  <c r="B620" i="10"/>
  <c r="C624" i="10" s="1" a="1"/>
  <c r="C624" i="10" s="1"/>
  <c r="B621" i="10"/>
  <c r="C625" i="10" s="1" a="1"/>
  <c r="C625" i="10" s="1"/>
  <c r="B622" i="10"/>
  <c r="C626" i="10" s="1" a="1"/>
  <c r="C626" i="10" s="1"/>
  <c r="B623" i="10"/>
  <c r="C627" i="10" s="1" a="1"/>
  <c r="C627" i="10" s="1"/>
  <c r="B624" i="10"/>
  <c r="C628" i="10" s="1" a="1"/>
  <c r="C628" i="10" s="1"/>
  <c r="B625" i="10"/>
  <c r="C629" i="10" s="1" a="1"/>
  <c r="C629" i="10" s="1"/>
  <c r="B626" i="10"/>
  <c r="C630" i="10" s="1" a="1"/>
  <c r="C630" i="10" s="1"/>
  <c r="B627" i="10"/>
  <c r="C631" i="10" s="1" a="1"/>
  <c r="C631" i="10" s="1"/>
  <c r="B628" i="10"/>
  <c r="C632" i="10" s="1" a="1"/>
  <c r="C632" i="10" s="1"/>
  <c r="B629" i="10"/>
  <c r="C633" i="10" s="1" a="1"/>
  <c r="C633" i="10" s="1"/>
  <c r="B630" i="10"/>
  <c r="C634" i="10" s="1" a="1"/>
  <c r="C634" i="10" s="1"/>
  <c r="B631" i="10"/>
  <c r="C635" i="10" s="1" a="1"/>
  <c r="C635" i="10" s="1"/>
  <c r="B632" i="10"/>
  <c r="C636" i="10" s="1" a="1"/>
  <c r="C636" i="10" s="1"/>
  <c r="B633" i="10"/>
  <c r="C637" i="10" s="1" a="1"/>
  <c r="C637" i="10" s="1"/>
  <c r="B634" i="10"/>
  <c r="C638" i="10" s="1" a="1"/>
  <c r="C638" i="10" s="1"/>
  <c r="B635" i="10"/>
  <c r="C639" i="10" s="1" a="1"/>
  <c r="C639" i="10" s="1"/>
  <c r="B636" i="10"/>
  <c r="C640" i="10" s="1" a="1"/>
  <c r="C640" i="10" s="1"/>
  <c r="B637" i="10"/>
  <c r="C641" i="10" s="1" a="1"/>
  <c r="C641" i="10" s="1"/>
  <c r="B638" i="10"/>
  <c r="C642" i="10" s="1" a="1"/>
  <c r="C642" i="10" s="1"/>
  <c r="B639" i="10"/>
  <c r="C643" i="10" s="1" a="1"/>
  <c r="C643" i="10" s="1"/>
  <c r="B640" i="10"/>
  <c r="C644" i="10" s="1" a="1"/>
  <c r="C644" i="10" s="1"/>
  <c r="B641" i="10"/>
  <c r="C645" i="10" s="1" a="1"/>
  <c r="C645" i="10" s="1"/>
  <c r="B642" i="10"/>
  <c r="C646" i="10" s="1" a="1"/>
  <c r="C646" i="10" s="1"/>
  <c r="B643" i="10"/>
  <c r="C647" i="10" s="1" a="1"/>
  <c r="C647" i="10" s="1"/>
  <c r="B644" i="10"/>
  <c r="C648" i="10" s="1" a="1"/>
  <c r="C648" i="10" s="1"/>
  <c r="B645" i="10"/>
  <c r="C649" i="10" s="1" a="1"/>
  <c r="C649" i="10" s="1"/>
  <c r="B646" i="10"/>
  <c r="C650" i="10" s="1" a="1"/>
  <c r="C650" i="10" s="1"/>
  <c r="B647" i="10"/>
  <c r="C651" i="10" s="1" a="1"/>
  <c r="C651" i="10" s="1"/>
  <c r="B648" i="10"/>
  <c r="C652" i="10" s="1" a="1"/>
  <c r="C652" i="10" s="1"/>
  <c r="B649" i="10"/>
  <c r="C653" i="10" s="1" a="1"/>
  <c r="C653" i="10" s="1"/>
  <c r="B650" i="10"/>
  <c r="C654" i="10" s="1" a="1"/>
  <c r="C654" i="10" s="1"/>
  <c r="B651" i="10"/>
  <c r="C655" i="10" s="1" a="1"/>
  <c r="C655" i="10" s="1"/>
  <c r="B652" i="10"/>
  <c r="C656" i="10" s="1" a="1"/>
  <c r="C656" i="10" s="1"/>
  <c r="B653" i="10"/>
  <c r="C657" i="10" s="1" a="1"/>
  <c r="C657" i="10" s="1"/>
  <c r="B654" i="10"/>
  <c r="C658" i="10" s="1" a="1"/>
  <c r="C658" i="10" s="1"/>
  <c r="B655" i="10"/>
  <c r="C659" i="10" s="1" a="1"/>
  <c r="C659" i="10" s="1"/>
  <c r="B656" i="10"/>
  <c r="C660" i="10" s="1" a="1"/>
  <c r="C660" i="10" s="1"/>
  <c r="B657" i="10"/>
  <c r="B658" i="10"/>
  <c r="B659" i="10"/>
  <c r="B660" i="10"/>
  <c r="C668" i="10" l="1"/>
  <c r="C667" i="10"/>
  <c r="B668" i="10"/>
  <c r="C666" i="10"/>
  <c r="B667" i="10"/>
  <c r="C665" i="10"/>
  <c r="B666" i="10"/>
  <c r="B665" i="10"/>
  <c r="C691" i="10"/>
  <c r="B720" i="10"/>
  <c r="B681" i="10"/>
  <c r="B678" i="10"/>
  <c r="B696" i="10"/>
  <c r="B683" i="10"/>
  <c r="B718" i="10"/>
  <c r="B705" i="10"/>
  <c r="B684" i="10"/>
  <c r="B707" i="10"/>
  <c r="B694" i="10"/>
  <c r="B717" i="10"/>
  <c r="B722" i="10"/>
  <c r="B723" i="10"/>
  <c r="B680" i="10"/>
  <c r="B692" i="10"/>
  <c r="B691" i="10"/>
  <c r="B693" i="10"/>
  <c r="B671" i="10"/>
  <c r="B710" i="10"/>
  <c r="B709" i="10"/>
  <c r="B679" i="10"/>
  <c r="B697" i="10"/>
  <c r="B719" i="10"/>
  <c r="B706" i="10"/>
  <c r="B704" i="10"/>
  <c r="C694" i="10"/>
  <c r="C683" i="10"/>
  <c r="C719" i="10"/>
  <c r="C671" i="10"/>
  <c r="C718" i="10"/>
  <c r="C707" i="10"/>
  <c r="C679" i="10"/>
  <c r="C704" i="10"/>
  <c r="C709" i="10"/>
  <c r="C684" i="10"/>
  <c r="C717" i="10"/>
  <c r="C706" i="10"/>
  <c r="C680" i="10"/>
  <c r="C696" i="10"/>
  <c r="C697" i="10"/>
  <c r="C692" i="10"/>
  <c r="C722" i="10"/>
  <c r="C693" i="10"/>
  <c r="C678" i="10"/>
  <c r="C681" i="10"/>
  <c r="C723" i="10"/>
  <c r="C710" i="10"/>
  <c r="C705" i="10"/>
  <c r="B670" i="10"/>
  <c r="C670" i="10"/>
  <c r="H136" i="40" l="1"/>
  <c r="H134" i="40" l="1"/>
  <c r="H135" i="40"/>
  <c r="J4" i="40" l="1"/>
  <c r="J109" i="40" a="1"/>
  <c r="J99" i="40" a="1"/>
  <c r="J65" i="40" a="1"/>
  <c r="J60" i="40" a="1"/>
  <c r="J59" i="40" a="1"/>
  <c r="J34" i="40" a="1"/>
  <c r="N159" i="40"/>
  <c r="T157" i="40"/>
  <c r="N157" i="40"/>
  <c r="T156" i="40"/>
  <c r="N156" i="40"/>
  <c r="T155" i="40"/>
  <c r="N155" i="40"/>
  <c r="T154" i="40"/>
  <c r="N154" i="40"/>
  <c r="T152" i="40"/>
  <c r="N152" i="40"/>
  <c r="T151" i="40"/>
  <c r="N151" i="40"/>
  <c r="T150" i="40"/>
  <c r="N150" i="40"/>
  <c r="T149" i="40"/>
  <c r="N149" i="40"/>
  <c r="T147" i="40"/>
  <c r="N147" i="40"/>
  <c r="T146" i="40"/>
  <c r="N146" i="40"/>
  <c r="T145" i="40"/>
  <c r="N145" i="40"/>
  <c r="T144" i="40"/>
  <c r="N144" i="40"/>
  <c r="T142" i="40"/>
  <c r="N142" i="40"/>
  <c r="T141" i="40"/>
  <c r="N141" i="40"/>
  <c r="T140" i="40"/>
  <c r="N140" i="40"/>
  <c r="T139" i="40"/>
  <c r="N139" i="40"/>
  <c r="T137" i="40"/>
  <c r="N137" i="40"/>
  <c r="T136" i="40"/>
  <c r="N136" i="40"/>
  <c r="T135" i="40"/>
  <c r="N135" i="40"/>
  <c r="T134" i="40"/>
  <c r="N134" i="40"/>
  <c r="T132" i="40"/>
  <c r="N132" i="40"/>
  <c r="T131" i="40"/>
  <c r="N131" i="40"/>
  <c r="T130" i="40"/>
  <c r="N130" i="40"/>
  <c r="T129" i="40"/>
  <c r="N129" i="40"/>
  <c r="T127" i="40"/>
  <c r="N127" i="40"/>
  <c r="T126" i="40"/>
  <c r="N126" i="40"/>
  <c r="T125" i="40"/>
  <c r="N125" i="40"/>
  <c r="T124" i="40"/>
  <c r="N124" i="40"/>
  <c r="T122" i="40"/>
  <c r="N122" i="40"/>
  <c r="T121" i="40"/>
  <c r="N121" i="40"/>
  <c r="T120" i="40"/>
  <c r="N120" i="40"/>
  <c r="T119" i="40"/>
  <c r="N119" i="40"/>
  <c r="T117" i="40"/>
  <c r="N117" i="40"/>
  <c r="T116" i="40"/>
  <c r="N116" i="40"/>
  <c r="T115" i="40"/>
  <c r="N115" i="40"/>
  <c r="T114" i="40"/>
  <c r="N114" i="40"/>
  <c r="T112" i="40"/>
  <c r="N112" i="40"/>
  <c r="T111" i="40"/>
  <c r="N111" i="40"/>
  <c r="T110" i="40"/>
  <c r="N110" i="40"/>
  <c r="T109" i="40"/>
  <c r="N109" i="40"/>
  <c r="T107" i="40"/>
  <c r="N107" i="40"/>
  <c r="T106" i="40"/>
  <c r="N106" i="40"/>
  <c r="T105" i="40"/>
  <c r="N105" i="40"/>
  <c r="T104" i="40"/>
  <c r="N104" i="40"/>
  <c r="T102" i="40"/>
  <c r="N102" i="40"/>
  <c r="T101" i="40"/>
  <c r="N101" i="40"/>
  <c r="T100" i="40"/>
  <c r="N100" i="40"/>
  <c r="T99" i="40"/>
  <c r="N99" i="40"/>
  <c r="T97" i="40"/>
  <c r="N97" i="40"/>
  <c r="T96" i="40"/>
  <c r="N96" i="40"/>
  <c r="T95" i="40"/>
  <c r="N95" i="40"/>
  <c r="T94" i="40"/>
  <c r="N94" i="40"/>
  <c r="T92" i="40"/>
  <c r="N92" i="40"/>
  <c r="T91" i="40"/>
  <c r="N91" i="40"/>
  <c r="T90" i="40"/>
  <c r="N90" i="40"/>
  <c r="T89" i="40"/>
  <c r="N89" i="40"/>
  <c r="T87" i="40"/>
  <c r="N87" i="40"/>
  <c r="T86" i="40"/>
  <c r="N86" i="40"/>
  <c r="T85" i="40"/>
  <c r="N85" i="40"/>
  <c r="T84" i="40"/>
  <c r="N84" i="40"/>
  <c r="T82" i="40"/>
  <c r="N82" i="40"/>
  <c r="T81" i="40"/>
  <c r="N81" i="40"/>
  <c r="T80" i="40"/>
  <c r="N80" i="40"/>
  <c r="T79" i="40"/>
  <c r="N79" i="40"/>
  <c r="T77" i="40"/>
  <c r="N77" i="40"/>
  <c r="T76" i="40"/>
  <c r="N76" i="40"/>
  <c r="T75" i="40"/>
  <c r="N75" i="40"/>
  <c r="T74" i="40"/>
  <c r="N74" i="40"/>
  <c r="T72" i="40"/>
  <c r="N72" i="40"/>
  <c r="T71" i="40"/>
  <c r="N71" i="40"/>
  <c r="T70" i="40"/>
  <c r="N70" i="40"/>
  <c r="T69" i="40"/>
  <c r="N69" i="40"/>
  <c r="T67" i="40"/>
  <c r="N67" i="40"/>
  <c r="T66" i="40"/>
  <c r="N66" i="40"/>
  <c r="T65" i="40"/>
  <c r="N65" i="40"/>
  <c r="T64" i="40"/>
  <c r="N64" i="40"/>
  <c r="T62" i="40"/>
  <c r="N62" i="40"/>
  <c r="T61" i="40"/>
  <c r="N61" i="40"/>
  <c r="T60" i="40"/>
  <c r="N60" i="40"/>
  <c r="T59" i="40"/>
  <c r="N59" i="40"/>
  <c r="T57" i="40"/>
  <c r="N57" i="40"/>
  <c r="T56" i="40"/>
  <c r="N56" i="40"/>
  <c r="T55" i="40"/>
  <c r="N55" i="40"/>
  <c r="T54" i="40"/>
  <c r="N54" i="40"/>
  <c r="T52" i="40"/>
  <c r="N52" i="40"/>
  <c r="T51" i="40"/>
  <c r="N51" i="40"/>
  <c r="T50" i="40"/>
  <c r="N50" i="40"/>
  <c r="T49" i="40"/>
  <c r="N49" i="40"/>
  <c r="T47" i="40"/>
  <c r="N47" i="40"/>
  <c r="T46" i="40"/>
  <c r="N46" i="40"/>
  <c r="T45" i="40"/>
  <c r="N45" i="40"/>
  <c r="T44" i="40"/>
  <c r="N44" i="40"/>
  <c r="T42" i="40"/>
  <c r="N42" i="40"/>
  <c r="T41" i="40"/>
  <c r="N41" i="40"/>
  <c r="T40" i="40"/>
  <c r="N40" i="40"/>
  <c r="T39" i="40"/>
  <c r="N39" i="40"/>
  <c r="T37" i="40"/>
  <c r="N37" i="40"/>
  <c r="T36" i="40"/>
  <c r="N36" i="40"/>
  <c r="T35" i="40"/>
  <c r="N35" i="40"/>
  <c r="T34" i="40"/>
  <c r="N34" i="40"/>
  <c r="T32" i="40"/>
  <c r="N32" i="40"/>
  <c r="T31" i="40"/>
  <c r="N31" i="40"/>
  <c r="T30" i="40"/>
  <c r="N30" i="40"/>
  <c r="T29" i="40"/>
  <c r="N29" i="40"/>
  <c r="T27" i="40"/>
  <c r="N27" i="40"/>
  <c r="T26" i="40"/>
  <c r="N26" i="40"/>
  <c r="T25" i="40"/>
  <c r="N25" i="40"/>
  <c r="T24" i="40"/>
  <c r="N24" i="40"/>
  <c r="T22" i="40"/>
  <c r="N22" i="40"/>
  <c r="T21" i="40"/>
  <c r="N21" i="40"/>
  <c r="T20" i="40"/>
  <c r="N20" i="40"/>
  <c r="T19" i="40"/>
  <c r="N19" i="40"/>
  <c r="T17" i="40"/>
  <c r="N17" i="40"/>
  <c r="T16" i="40"/>
  <c r="N16" i="40"/>
  <c r="T15" i="40"/>
  <c r="N15" i="40"/>
  <c r="T14" i="40"/>
  <c r="N14" i="40"/>
  <c r="T12" i="40"/>
  <c r="N12" i="40"/>
  <c r="T11" i="40"/>
  <c r="N11" i="40"/>
  <c r="T10" i="40"/>
  <c r="N10" i="40"/>
  <c r="T9" i="40"/>
  <c r="N9" i="40"/>
  <c r="T7" i="40"/>
  <c r="N7" i="40"/>
  <c r="T6" i="40"/>
  <c r="N6" i="40"/>
  <c r="T5" i="40"/>
  <c r="N5" i="40"/>
  <c r="T4" i="40"/>
  <c r="N4" i="40"/>
  <c r="J134" i="40" l="1" a="1"/>
  <c r="J69" i="40" a="1"/>
  <c r="J104" i="40" a="1"/>
  <c r="J129" i="40" a="1"/>
  <c r="J74" i="40" a="1"/>
  <c r="J135" i="40" a="1"/>
  <c r="J110" i="40" a="1"/>
  <c r="J5" i="40" a="1"/>
  <c r="J100" i="40" a="1"/>
  <c r="J85" i="40" a="1"/>
  <c r="J50" i="40" a="1"/>
  <c r="J105" i="40" a="1"/>
  <c r="J35" i="40" a="1"/>
  <c r="J90" i="40" a="1"/>
  <c r="J64" i="40" a="1"/>
  <c r="J9" i="40" a="1"/>
  <c r="J49" i="40" a="1"/>
  <c r="J24" i="40" a="1"/>
  <c r="J29" i="40" a="1"/>
  <c r="J54" i="40" a="1"/>
  <c r="J119" i="40" l="1" a="1"/>
  <c r="J119" i="40" s="1"/>
  <c r="J120" i="40" a="1"/>
  <c r="J120" i="40" s="1"/>
  <c r="J10" i="40" a="1"/>
  <c r="J10" i="40" s="1"/>
  <c r="J39" i="40" a="1"/>
  <c r="J39" i="40" s="1"/>
  <c r="J25" i="40" a="1"/>
  <c r="J25" i="40" s="1"/>
  <c r="J95" i="40" a="1"/>
  <c r="J95" i="40" s="1"/>
  <c r="J80" i="40" a="1"/>
  <c r="J80" i="40" s="1"/>
  <c r="J45" i="40" a="1"/>
  <c r="J45" i="40" s="1"/>
  <c r="J14" i="40" a="1"/>
  <c r="J14" i="40" s="1"/>
  <c r="J89" i="40" a="1"/>
  <c r="J89" i="40" s="1"/>
  <c r="J30" i="40" a="1"/>
  <c r="J30" i="40" s="1"/>
  <c r="J40" i="40" a="1"/>
  <c r="J40" i="40" s="1"/>
  <c r="J130" i="40" a="1"/>
  <c r="J130" i="40" s="1"/>
  <c r="J114" i="40" a="1"/>
  <c r="J114" i="40" s="1"/>
  <c r="J125" i="40" a="1"/>
  <c r="J125" i="40" s="1"/>
  <c r="J55" i="40" a="1"/>
  <c r="J55" i="40" s="1"/>
  <c r="J20" i="40" a="1"/>
  <c r="J20" i="40" s="1"/>
  <c r="J124" i="40" a="1"/>
  <c r="J124" i="40" s="1"/>
  <c r="J84" i="40" a="1"/>
  <c r="J84" i="40" s="1"/>
  <c r="J115" i="40" a="1"/>
  <c r="J115" i="40" s="1"/>
  <c r="J15" i="40" a="1"/>
  <c r="J15" i="40" s="1"/>
  <c r="J75" i="40" a="1"/>
  <c r="J75" i="40" s="1"/>
  <c r="J70" i="40" a="1"/>
  <c r="J70" i="40" s="1"/>
  <c r="J94" i="40" a="1"/>
  <c r="J94" i="40" s="1"/>
  <c r="J19" i="40" a="1"/>
  <c r="J19" i="40" s="1"/>
  <c r="H125" i="40"/>
  <c r="P125" i="40"/>
  <c r="P110" i="40"/>
  <c r="H110" i="40"/>
  <c r="J110" i="40"/>
  <c r="H85" i="40"/>
  <c r="P85" i="40"/>
  <c r="J85" i="40"/>
  <c r="P30" i="40"/>
  <c r="H30" i="40"/>
  <c r="H80" i="40"/>
  <c r="P80" i="40"/>
  <c r="P90" i="40"/>
  <c r="H90" i="40"/>
  <c r="J90" i="40"/>
  <c r="H49" i="40"/>
  <c r="P49" i="40"/>
  <c r="J49" i="40"/>
  <c r="P54" i="40"/>
  <c r="H54" i="40"/>
  <c r="J54" i="40"/>
  <c r="P34" i="40"/>
  <c r="H34" i="40"/>
  <c r="J34" i="40"/>
  <c r="H129" i="40"/>
  <c r="P129" i="40"/>
  <c r="J129" i="40"/>
  <c r="P134" i="40"/>
  <c r="J134" i="40"/>
  <c r="H89" i="40"/>
  <c r="P89" i="40"/>
  <c r="H9" i="40"/>
  <c r="P9" i="40"/>
  <c r="J9" i="40"/>
  <c r="P50" i="40"/>
  <c r="H50" i="40"/>
  <c r="J50" i="40"/>
  <c r="H60" i="40"/>
  <c r="P60" i="40"/>
  <c r="J60" i="40"/>
  <c r="P25" i="40"/>
  <c r="H25" i="40"/>
  <c r="P95" i="40"/>
  <c r="H95" i="40"/>
  <c r="H105" i="40"/>
  <c r="P105" i="40"/>
  <c r="J105" i="40"/>
  <c r="H40" i="40"/>
  <c r="P40" i="40"/>
  <c r="P19" i="40"/>
  <c r="H19" i="40"/>
  <c r="H84" i="40"/>
  <c r="P84" i="40"/>
  <c r="H124" i="40"/>
  <c r="P124" i="40"/>
  <c r="H104" i="40"/>
  <c r="P104" i="40"/>
  <c r="J104" i="40"/>
  <c r="P39" i="40"/>
  <c r="H39" i="40"/>
  <c r="P15" i="40"/>
  <c r="H15" i="40"/>
  <c r="H65" i="40"/>
  <c r="P65" i="40"/>
  <c r="J65" i="40"/>
  <c r="J5" i="40"/>
  <c r="H5" i="40"/>
  <c r="P5" i="40"/>
  <c r="P70" i="40"/>
  <c r="H70" i="40"/>
  <c r="H100" i="40"/>
  <c r="P100" i="40"/>
  <c r="J100" i="40"/>
  <c r="P115" i="40"/>
  <c r="H115" i="40"/>
  <c r="P75" i="40"/>
  <c r="H75" i="40"/>
  <c r="H120" i="40"/>
  <c r="P120" i="40"/>
  <c r="P14" i="40"/>
  <c r="H14" i="40"/>
  <c r="H29" i="40"/>
  <c r="P29" i="40"/>
  <c r="J29" i="40"/>
  <c r="H4" i="40"/>
  <c r="P4" i="40"/>
  <c r="H109" i="40"/>
  <c r="P109" i="40"/>
  <c r="J109" i="40"/>
  <c r="H24" i="40"/>
  <c r="P24" i="40"/>
  <c r="J24" i="40"/>
  <c r="P94" i="40"/>
  <c r="H94" i="40"/>
  <c r="P74" i="40"/>
  <c r="H74" i="40"/>
  <c r="J74" i="40"/>
  <c r="P119" i="40"/>
  <c r="H119" i="40"/>
  <c r="H45" i="40"/>
  <c r="P45" i="40"/>
  <c r="P55" i="40"/>
  <c r="H55" i="40"/>
  <c r="P10" i="40"/>
  <c r="H10" i="40"/>
  <c r="H35" i="40"/>
  <c r="P35" i="40"/>
  <c r="J35" i="40"/>
  <c r="H20" i="40"/>
  <c r="P20" i="40"/>
  <c r="P130" i="40"/>
  <c r="H130" i="40"/>
  <c r="P135" i="40"/>
  <c r="J135" i="40"/>
  <c r="H64" i="40"/>
  <c r="P64" i="40"/>
  <c r="J64" i="40"/>
  <c r="H59" i="40"/>
  <c r="P59" i="40"/>
  <c r="J59" i="40"/>
  <c r="H69" i="40"/>
  <c r="P69" i="40"/>
  <c r="J69" i="40"/>
  <c r="P99" i="40"/>
  <c r="H99" i="40"/>
  <c r="J99" i="40"/>
  <c r="P114" i="40"/>
  <c r="H114" i="40"/>
  <c r="J136" i="40" a="1"/>
  <c r="J66" i="40" a="1"/>
  <c r="J61" i="40" a="1"/>
  <c r="L134" i="40" l="1"/>
  <c r="J11" i="40" a="1"/>
  <c r="J26" i="40" a="1"/>
  <c r="J26" i="40" s="1"/>
  <c r="J36" i="40" a="1"/>
  <c r="J36" i="40" s="1"/>
  <c r="J121" i="40" a="1"/>
  <c r="J121" i="40" s="1"/>
  <c r="J51" i="40" a="1"/>
  <c r="J51" i="40" s="1"/>
  <c r="J76" i="40" a="1"/>
  <c r="J76" i="40" s="1"/>
  <c r="J6" i="40" a="1"/>
  <c r="J6" i="40" s="1"/>
  <c r="J81" i="40" a="1"/>
  <c r="J81" i="40" s="1"/>
  <c r="J131" i="40" a="1"/>
  <c r="J131" i="40" s="1"/>
  <c r="J116" i="40" a="1"/>
  <c r="J116" i="40" s="1"/>
  <c r="J86" i="40" a="1"/>
  <c r="J86" i="40" s="1"/>
  <c r="J101" i="40" a="1"/>
  <c r="J101" i="40" s="1"/>
  <c r="J111" i="40" a="1"/>
  <c r="J111" i="40" s="1"/>
  <c r="J106" i="40" a="1"/>
  <c r="J106" i="40" s="1"/>
  <c r="J91" i="40" a="1"/>
  <c r="J91" i="40" s="1"/>
  <c r="J16" i="40" a="1"/>
  <c r="J16" i="40" s="1"/>
  <c r="J96" i="40" a="1"/>
  <c r="J96" i="40" s="1"/>
  <c r="J71" i="40" a="1"/>
  <c r="J71" i="40" s="1"/>
  <c r="J41" i="40" a="1"/>
  <c r="J41" i="40" s="1"/>
  <c r="J126" i="40" a="1"/>
  <c r="J126" i="40" s="1"/>
  <c r="J46" i="40" a="1"/>
  <c r="J46" i="40" s="1"/>
  <c r="J31" i="40" a="1"/>
  <c r="J31" i="40" s="1"/>
  <c r="J56" i="40" a="1"/>
  <c r="J56" i="40" s="1"/>
  <c r="J21" i="40" a="1"/>
  <c r="J21" i="40" s="1"/>
  <c r="L50" i="40"/>
  <c r="L25" i="40"/>
  <c r="L110" i="40"/>
  <c r="L115" i="40"/>
  <c r="L9" i="40"/>
  <c r="L80" i="40"/>
  <c r="L35" i="40"/>
  <c r="R40" i="40"/>
  <c r="R50" i="40"/>
  <c r="L109" i="40"/>
  <c r="R104" i="40"/>
  <c r="H139" i="40"/>
  <c r="L39" i="40"/>
  <c r="L24" i="40"/>
  <c r="L94" i="40"/>
  <c r="L19" i="40"/>
  <c r="L114" i="40"/>
  <c r="R130" i="40"/>
  <c r="R55" i="40"/>
  <c r="L119" i="40"/>
  <c r="R94" i="40"/>
  <c r="R115" i="40"/>
  <c r="R75" i="40"/>
  <c r="L100" i="40"/>
  <c r="L84" i="40"/>
  <c r="L95" i="40"/>
  <c r="L129" i="40"/>
  <c r="L34" i="40"/>
  <c r="R114" i="40"/>
  <c r="R54" i="40"/>
  <c r="R30" i="40"/>
  <c r="L99" i="40"/>
  <c r="L135" i="40"/>
  <c r="L10" i="40"/>
  <c r="L74" i="40"/>
  <c r="L69" i="40"/>
  <c r="R59" i="40"/>
  <c r="R4" i="40"/>
  <c r="P139" i="40"/>
  <c r="R29" i="40"/>
  <c r="R14" i="40"/>
  <c r="L75" i="40"/>
  <c r="R5" i="40"/>
  <c r="P140" i="40"/>
  <c r="R65" i="40"/>
  <c r="P145" i="40"/>
  <c r="R15" i="40"/>
  <c r="L104" i="40"/>
  <c r="R124" i="40"/>
  <c r="L40" i="40"/>
  <c r="R105" i="40"/>
  <c r="R95" i="40"/>
  <c r="L60" i="40"/>
  <c r="R134" i="40"/>
  <c r="L54" i="40"/>
  <c r="R49" i="40"/>
  <c r="P155" i="40"/>
  <c r="R90" i="40"/>
  <c r="L30" i="40"/>
  <c r="R85" i="40"/>
  <c r="R110" i="40"/>
  <c r="R69" i="40"/>
  <c r="R135" i="40"/>
  <c r="R120" i="40"/>
  <c r="L120" i="40"/>
  <c r="J150" i="40"/>
  <c r="L70" i="40"/>
  <c r="H140" i="40"/>
  <c r="P150" i="40"/>
  <c r="R60" i="40"/>
  <c r="L89" i="40"/>
  <c r="J154" i="40"/>
  <c r="R125" i="40"/>
  <c r="L125" i="40"/>
  <c r="L64" i="40"/>
  <c r="L130" i="40"/>
  <c r="L20" i="40"/>
  <c r="R35" i="40"/>
  <c r="R10" i="40"/>
  <c r="L45" i="40"/>
  <c r="R74" i="40"/>
  <c r="R109" i="40"/>
  <c r="L4" i="40"/>
  <c r="J139" i="40"/>
  <c r="L14" i="40"/>
  <c r="L5" i="40"/>
  <c r="J140" i="40"/>
  <c r="L15" i="40"/>
  <c r="J145" i="40"/>
  <c r="H150" i="40"/>
  <c r="R89" i="40"/>
  <c r="P154" i="40"/>
  <c r="R129" i="40"/>
  <c r="J155" i="40"/>
  <c r="L90" i="40"/>
  <c r="R80" i="40"/>
  <c r="R99" i="40"/>
  <c r="L59" i="40"/>
  <c r="R64" i="40"/>
  <c r="R20" i="40"/>
  <c r="L55" i="40"/>
  <c r="R45" i="40"/>
  <c r="R119" i="40"/>
  <c r="R24" i="40"/>
  <c r="L29" i="40"/>
  <c r="R100" i="40"/>
  <c r="R70" i="40"/>
  <c r="L65" i="40"/>
  <c r="H145" i="40"/>
  <c r="R39" i="40"/>
  <c r="L124" i="40"/>
  <c r="R84" i="40"/>
  <c r="R19" i="40"/>
  <c r="L105" i="40"/>
  <c r="R25" i="40"/>
  <c r="R9" i="40"/>
  <c r="H154" i="40"/>
  <c r="R34" i="40"/>
  <c r="L49" i="40"/>
  <c r="H155" i="40"/>
  <c r="L85" i="40"/>
  <c r="P91" i="40"/>
  <c r="H91" i="40"/>
  <c r="P16" i="40"/>
  <c r="H16" i="40"/>
  <c r="P96" i="40"/>
  <c r="H96" i="40"/>
  <c r="H97" i="40" s="1"/>
  <c r="P71" i="40"/>
  <c r="H71" i="40"/>
  <c r="H72" i="40" s="1"/>
  <c r="H41" i="40"/>
  <c r="H42" i="40" s="1"/>
  <c r="P41" i="40"/>
  <c r="P136" i="40"/>
  <c r="J136" i="40"/>
  <c r="H106" i="40"/>
  <c r="H107" i="40" s="1"/>
  <c r="P106" i="40"/>
  <c r="H61" i="40"/>
  <c r="P61" i="40"/>
  <c r="J61" i="40"/>
  <c r="H126" i="40"/>
  <c r="H127" i="40" s="1"/>
  <c r="P126" i="40"/>
  <c r="H46" i="40"/>
  <c r="P46" i="40"/>
  <c r="P31" i="40"/>
  <c r="H31" i="40"/>
  <c r="H32" i="40" s="1"/>
  <c r="P56" i="40"/>
  <c r="H56" i="40"/>
  <c r="H57" i="40" s="1"/>
  <c r="P11" i="40"/>
  <c r="H11" i="40"/>
  <c r="H12" i="40" s="1"/>
  <c r="J11" i="40"/>
  <c r="H21" i="40"/>
  <c r="H22" i="40" s="1"/>
  <c r="P21" i="40"/>
  <c r="P116" i="40"/>
  <c r="H116" i="40"/>
  <c r="H117" i="40" s="1"/>
  <c r="H86" i="40"/>
  <c r="H87" i="40" s="1"/>
  <c r="P86" i="40"/>
  <c r="H26" i="40"/>
  <c r="H27" i="40" s="1"/>
  <c r="P26" i="40"/>
  <c r="H101" i="40"/>
  <c r="H102" i="40" s="1"/>
  <c r="P101" i="40"/>
  <c r="P111" i="40"/>
  <c r="H111" i="40"/>
  <c r="H112" i="40" s="1"/>
  <c r="P36" i="40"/>
  <c r="H36" i="40"/>
  <c r="H37" i="40" s="1"/>
  <c r="H121" i="40"/>
  <c r="H122" i="40" s="1"/>
  <c r="P121" i="40"/>
  <c r="P122" i="40" s="1"/>
  <c r="P51" i="40"/>
  <c r="H51" i="40"/>
  <c r="H52" i="40" s="1"/>
  <c r="P76" i="40"/>
  <c r="H76" i="40"/>
  <c r="H77" i="40" s="1"/>
  <c r="H6" i="40"/>
  <c r="P6" i="40"/>
  <c r="H81" i="40"/>
  <c r="P81" i="40"/>
  <c r="P131" i="40"/>
  <c r="H137" i="40"/>
  <c r="H131" i="40"/>
  <c r="H132" i="40" s="1"/>
  <c r="H66" i="40"/>
  <c r="H67" i="40" s="1"/>
  <c r="P66" i="40"/>
  <c r="J66" i="40"/>
  <c r="C724" i="10"/>
  <c r="C725" i="10" s="1"/>
  <c r="C711" i="10"/>
  <c r="C712" i="10" s="1"/>
  <c r="C672" i="10"/>
  <c r="C673" i="10" s="1"/>
  <c r="C669" i="10"/>
  <c r="C682" i="10"/>
  <c r="C698" i="10"/>
  <c r="C699" i="10" s="1"/>
  <c r="C708" i="10"/>
  <c r="C695" i="10"/>
  <c r="C685" i="10"/>
  <c r="C686" i="10" s="1"/>
  <c r="C721" i="10"/>
  <c r="B682" i="10"/>
  <c r="B672" i="10"/>
  <c r="B673" i="10" s="1"/>
  <c r="B724" i="10"/>
  <c r="B725" i="10" s="1"/>
  <c r="B698" i="10"/>
  <c r="B699" i="10" s="1"/>
  <c r="B708" i="10"/>
  <c r="B685" i="10"/>
  <c r="B686" i="10" s="1"/>
  <c r="B695" i="10"/>
  <c r="B711" i="10"/>
  <c r="B712" i="10" s="1"/>
  <c r="B721" i="10"/>
  <c r="B669" i="10"/>
  <c r="J79" i="40" a="1"/>
  <c r="L139" i="40" l="1"/>
  <c r="J44" i="40" a="1"/>
  <c r="J44" i="40" s="1"/>
  <c r="R154" i="40"/>
  <c r="L140" i="40"/>
  <c r="L155" i="40"/>
  <c r="R150" i="40"/>
  <c r="R140" i="40"/>
  <c r="H44" i="40"/>
  <c r="H144" i="40" s="1"/>
  <c r="P44" i="40"/>
  <c r="P47" i="40" s="1"/>
  <c r="L145" i="40"/>
  <c r="L150" i="40"/>
  <c r="P79" i="40"/>
  <c r="H79" i="40"/>
  <c r="H149" i="40" s="1"/>
  <c r="J79" i="40"/>
  <c r="J82" i="40" s="1"/>
  <c r="R145" i="40"/>
  <c r="R139" i="40"/>
  <c r="L154" i="40"/>
  <c r="R155" i="40"/>
  <c r="L76" i="40"/>
  <c r="J77" i="40"/>
  <c r="L77" i="40" s="1"/>
  <c r="L111" i="40"/>
  <c r="J112" i="40"/>
  <c r="L112" i="40" s="1"/>
  <c r="P102" i="40"/>
  <c r="R101" i="40"/>
  <c r="J117" i="40"/>
  <c r="L117" i="40" s="1"/>
  <c r="L116" i="40"/>
  <c r="P22" i="40"/>
  <c r="R21" i="40"/>
  <c r="R11" i="40"/>
  <c r="P12" i="40"/>
  <c r="L31" i="40"/>
  <c r="J32" i="40"/>
  <c r="L32" i="40" s="1"/>
  <c r="R46" i="40"/>
  <c r="L106" i="40"/>
  <c r="J107" i="40"/>
  <c r="L107" i="40" s="1"/>
  <c r="P137" i="40"/>
  <c r="R136" i="40"/>
  <c r="J72" i="40"/>
  <c r="L72" i="40" s="1"/>
  <c r="L71" i="40"/>
  <c r="J151" i="40"/>
  <c r="P146" i="40"/>
  <c r="P17" i="40"/>
  <c r="R16" i="40"/>
  <c r="P132" i="40"/>
  <c r="R131" i="40"/>
  <c r="J7" i="40"/>
  <c r="J141" i="40"/>
  <c r="L6" i="40"/>
  <c r="P52" i="40"/>
  <c r="R51" i="40"/>
  <c r="L36" i="40"/>
  <c r="J37" i="40"/>
  <c r="L37" i="40" s="1"/>
  <c r="L86" i="40"/>
  <c r="J87" i="40"/>
  <c r="L87" i="40" s="1"/>
  <c r="L56" i="40"/>
  <c r="J57" i="40"/>
  <c r="L57" i="40" s="1"/>
  <c r="J62" i="40"/>
  <c r="L61" i="40"/>
  <c r="R106" i="40"/>
  <c r="P107" i="40"/>
  <c r="L41" i="40"/>
  <c r="J42" i="40"/>
  <c r="L42" i="40" s="1"/>
  <c r="P97" i="40"/>
  <c r="R96" i="40"/>
  <c r="J156" i="40"/>
  <c r="J92" i="40"/>
  <c r="L91" i="40"/>
  <c r="L131" i="40"/>
  <c r="J132" i="40"/>
  <c r="L132" i="40" s="1"/>
  <c r="L81" i="40"/>
  <c r="P141" i="40"/>
  <c r="R6" i="40"/>
  <c r="P7" i="40"/>
  <c r="P77" i="40"/>
  <c r="R76" i="40"/>
  <c r="R121" i="40"/>
  <c r="L121" i="40"/>
  <c r="J122" i="40"/>
  <c r="L122" i="40" s="1"/>
  <c r="P112" i="40"/>
  <c r="R111" i="40"/>
  <c r="J27" i="40"/>
  <c r="L27" i="40" s="1"/>
  <c r="L26" i="40"/>
  <c r="P87" i="40"/>
  <c r="R86" i="40"/>
  <c r="P117" i="40"/>
  <c r="R116" i="40"/>
  <c r="L11" i="40"/>
  <c r="J12" i="40"/>
  <c r="L12" i="40" s="1"/>
  <c r="R31" i="40"/>
  <c r="P32" i="40"/>
  <c r="J127" i="40"/>
  <c r="L127" i="40" s="1"/>
  <c r="L126" i="40"/>
  <c r="P151" i="40"/>
  <c r="R61" i="40"/>
  <c r="P62" i="40"/>
  <c r="R41" i="40"/>
  <c r="P42" i="40"/>
  <c r="R71" i="40"/>
  <c r="P72" i="40"/>
  <c r="J146" i="40"/>
  <c r="L16" i="40"/>
  <c r="J17" i="40"/>
  <c r="H156" i="40"/>
  <c r="H157" i="40" s="1"/>
  <c r="H92" i="40"/>
  <c r="R66" i="40"/>
  <c r="P67" i="40"/>
  <c r="L66" i="40"/>
  <c r="J67" i="40"/>
  <c r="L67" i="40" s="1"/>
  <c r="R81" i="40"/>
  <c r="H7" i="40"/>
  <c r="H141" i="40"/>
  <c r="H142" i="40" s="1"/>
  <c r="J52" i="40"/>
  <c r="L52" i="40" s="1"/>
  <c r="L51" i="40"/>
  <c r="P37" i="40"/>
  <c r="R36" i="40"/>
  <c r="L101" i="40"/>
  <c r="J102" i="40"/>
  <c r="L102" i="40" s="1"/>
  <c r="P27" i="40"/>
  <c r="R26" i="40"/>
  <c r="L21" i="40"/>
  <c r="J22" i="40"/>
  <c r="L22" i="40" s="1"/>
  <c r="P57" i="40"/>
  <c r="R56" i="40"/>
  <c r="L46" i="40"/>
  <c r="P127" i="40"/>
  <c r="R126" i="40"/>
  <c r="H151" i="40"/>
  <c r="H62" i="40"/>
  <c r="L136" i="40"/>
  <c r="J137" i="40"/>
  <c r="L137" i="40" s="1"/>
  <c r="L96" i="40"/>
  <c r="J97" i="40"/>
  <c r="L97" i="40" s="1"/>
  <c r="H146" i="40"/>
  <c r="H17" i="40"/>
  <c r="R91" i="40"/>
  <c r="P92" i="40"/>
  <c r="P156" i="40"/>
  <c r="H147" i="40" l="1"/>
  <c r="R42" i="40"/>
  <c r="H152" i="40"/>
  <c r="R57" i="40"/>
  <c r="R27" i="40"/>
  <c r="R32" i="40"/>
  <c r="R77" i="40"/>
  <c r="R127" i="40"/>
  <c r="H47" i="40"/>
  <c r="R37" i="40"/>
  <c r="R117" i="40"/>
  <c r="R79" i="40"/>
  <c r="P149" i="40"/>
  <c r="P152" i="40" s="1"/>
  <c r="H82" i="40"/>
  <c r="L82" i="40" s="1"/>
  <c r="P82" i="40"/>
  <c r="R82" i="40" s="1"/>
  <c r="L44" i="40"/>
  <c r="J144" i="40"/>
  <c r="L144" i="40" s="1"/>
  <c r="L79" i="40"/>
  <c r="J149" i="40"/>
  <c r="L149" i="40" s="1"/>
  <c r="R44" i="40"/>
  <c r="P144" i="40"/>
  <c r="P147" i="40" s="1"/>
  <c r="R92" i="40"/>
  <c r="L62" i="40"/>
  <c r="J47" i="40"/>
  <c r="R47" i="40" s="1"/>
  <c r="R122" i="40"/>
  <c r="R72" i="40"/>
  <c r="R62" i="40"/>
  <c r="R87" i="40"/>
  <c r="R112" i="40"/>
  <c r="R141" i="40"/>
  <c r="R107" i="40"/>
  <c r="R67" i="40"/>
  <c r="R156" i="40"/>
  <c r="P157" i="40"/>
  <c r="L146" i="40"/>
  <c r="L156" i="40"/>
  <c r="J157" i="40"/>
  <c r="L157" i="40" s="1"/>
  <c r="R52" i="40"/>
  <c r="R146" i="40"/>
  <c r="R12" i="40"/>
  <c r="R132" i="40"/>
  <c r="L151" i="40"/>
  <c r="R137" i="40"/>
  <c r="L17" i="40"/>
  <c r="R97" i="40"/>
  <c r="L141" i="40"/>
  <c r="R151" i="40"/>
  <c r="R7" i="40"/>
  <c r="P142" i="40"/>
  <c r="L92" i="40"/>
  <c r="J142" i="40"/>
  <c r="L7" i="40"/>
  <c r="R17" i="40"/>
  <c r="R22" i="40"/>
  <c r="R102" i="40"/>
  <c r="P135" i="39"/>
  <c r="P134" i="39"/>
  <c r="P60" i="39"/>
  <c r="H59" i="39"/>
  <c r="H159" i="40" l="1"/>
  <c r="J147" i="40"/>
  <c r="L147" i="40" s="1"/>
  <c r="J85" i="39" a="1"/>
  <c r="J85" i="39" s="1"/>
  <c r="J15" i="39" a="1"/>
  <c r="J15" i="39" s="1"/>
  <c r="J30" i="39" a="1"/>
  <c r="J30" i="39" s="1"/>
  <c r="R144" i="40"/>
  <c r="J152" i="40"/>
  <c r="L152" i="40" s="1"/>
  <c r="L47" i="40"/>
  <c r="R149" i="40"/>
  <c r="L142" i="40"/>
  <c r="R142" i="40"/>
  <c r="P159" i="40"/>
  <c r="R157" i="40"/>
  <c r="J54" i="39" a="1"/>
  <c r="J65" i="39" a="1"/>
  <c r="J9" i="39" a="1"/>
  <c r="J9" i="39" s="1"/>
  <c r="J109" i="39" a="1"/>
  <c r="J109" i="39" s="1"/>
  <c r="J110" i="39" a="1"/>
  <c r="J25" i="39" a="1"/>
  <c r="J40" i="39" a="1"/>
  <c r="J40" i="39" s="1"/>
  <c r="J34" i="39" a="1"/>
  <c r="J34" i="39" s="1"/>
  <c r="J39" i="39" a="1"/>
  <c r="J39" i="39" s="1"/>
  <c r="J19" i="39" a="1"/>
  <c r="J19" i="39" s="1"/>
  <c r="J115" i="39" a="1"/>
  <c r="J115" i="39" s="1"/>
  <c r="J95" i="39" a="1"/>
  <c r="J95" i="39" s="1"/>
  <c r="J100" i="39" a="1"/>
  <c r="J100" i="39" s="1"/>
  <c r="J79" i="39" a="1"/>
  <c r="J79" i="39" s="1"/>
  <c r="J119" i="39" a="1"/>
  <c r="J119" i="39" s="1"/>
  <c r="J50" i="39" a="1"/>
  <c r="J50" i="39" s="1"/>
  <c r="J90" i="39" a="1"/>
  <c r="J90" i="39" s="1"/>
  <c r="J44" i="39" a="1"/>
  <c r="J44" i="39" s="1"/>
  <c r="J74" i="39" a="1"/>
  <c r="J74" i="39" s="1"/>
  <c r="J55" i="39" a="1"/>
  <c r="J55" i="39" s="1"/>
  <c r="J120" i="39" a="1"/>
  <c r="J120" i="39" s="1"/>
  <c r="J45" i="39" a="1"/>
  <c r="J45" i="39" s="1"/>
  <c r="J10" i="39" a="1"/>
  <c r="J10" i="39" s="1"/>
  <c r="J75" i="39" a="1"/>
  <c r="J75" i="39" s="1"/>
  <c r="J80" i="39" a="1"/>
  <c r="J80" i="39" s="1"/>
  <c r="J129" i="39" a="1"/>
  <c r="J129" i="39" s="1"/>
  <c r="J4" i="39" a="1"/>
  <c r="J4" i="39" s="1"/>
  <c r="J69" i="39" a="1"/>
  <c r="J69" i="39" s="1"/>
  <c r="J104" i="39" a="1"/>
  <c r="J104" i="39" s="1"/>
  <c r="J35" i="39" a="1"/>
  <c r="J35" i="39" s="1"/>
  <c r="J29" i="39" a="1"/>
  <c r="J29" i="39" s="1"/>
  <c r="J125" i="39" a="1"/>
  <c r="J125" i="39" s="1"/>
  <c r="J89" i="39" a="1"/>
  <c r="J89" i="39" s="1"/>
  <c r="J14" i="39" a="1"/>
  <c r="J14" i="39" s="1"/>
  <c r="J84" i="39" a="1"/>
  <c r="J84" i="39" s="1"/>
  <c r="J49" i="39" a="1"/>
  <c r="J49" i="39" s="1"/>
  <c r="J94" i="39" a="1"/>
  <c r="J94" i="39" s="1"/>
  <c r="J114" i="39" a="1"/>
  <c r="J114" i="39" s="1"/>
  <c r="J130" i="39" a="1"/>
  <c r="J130" i="39" s="1"/>
  <c r="J5" i="39" a="1"/>
  <c r="J5" i="39" s="1"/>
  <c r="J70" i="39" a="1"/>
  <c r="J70" i="39" s="1"/>
  <c r="J99" i="39" a="1"/>
  <c r="J99" i="39" s="1"/>
  <c r="J124" i="39" a="1"/>
  <c r="J124" i="39" s="1"/>
  <c r="J105" i="39" a="1"/>
  <c r="J105" i="39" s="1"/>
  <c r="J24" i="39" a="1"/>
  <c r="J24" i="39" s="1"/>
  <c r="J64" i="39" a="1"/>
  <c r="J64" i="39" s="1"/>
  <c r="J20" i="39" a="1"/>
  <c r="J20" i="39" s="1"/>
  <c r="J59" i="39" a="1"/>
  <c r="J59" i="39" s="1"/>
  <c r="J60" i="39" a="1"/>
  <c r="J60" i="39" s="1"/>
  <c r="J134" i="39" a="1"/>
  <c r="J134" i="39" s="1"/>
  <c r="J135" i="39" a="1"/>
  <c r="J135" i="39" s="1"/>
  <c r="P119" i="39"/>
  <c r="P90" i="39"/>
  <c r="P44" i="39"/>
  <c r="P9" i="39"/>
  <c r="H74" i="39"/>
  <c r="H79" i="39"/>
  <c r="J25" i="39"/>
  <c r="P55" i="39"/>
  <c r="P40" i="39"/>
  <c r="P65" i="39"/>
  <c r="H34" i="39"/>
  <c r="H19" i="39"/>
  <c r="P110" i="39"/>
  <c r="P35" i="39"/>
  <c r="P29" i="39"/>
  <c r="P10" i="39"/>
  <c r="P75" i="39"/>
  <c r="P80" i="39"/>
  <c r="P4" i="39"/>
  <c r="P104" i="39"/>
  <c r="H125" i="39"/>
  <c r="H89" i="39"/>
  <c r="P14" i="39"/>
  <c r="P84" i="39"/>
  <c r="P49" i="39"/>
  <c r="H94" i="39"/>
  <c r="P114" i="39"/>
  <c r="P130" i="39"/>
  <c r="H5" i="39"/>
  <c r="P70" i="39"/>
  <c r="H99" i="39"/>
  <c r="P124" i="39"/>
  <c r="H105" i="39"/>
  <c r="P24" i="39"/>
  <c r="H120" i="39"/>
  <c r="H45" i="39"/>
  <c r="P69" i="39"/>
  <c r="H115" i="39"/>
  <c r="P15" i="39"/>
  <c r="H85" i="39"/>
  <c r="P50" i="39"/>
  <c r="P95" i="39"/>
  <c r="P30" i="39"/>
  <c r="P54" i="39"/>
  <c r="H100" i="39"/>
  <c r="P109" i="39"/>
  <c r="P64" i="39"/>
  <c r="H20" i="39"/>
  <c r="H4" i="39"/>
  <c r="H9" i="39"/>
  <c r="H14" i="39"/>
  <c r="H30" i="39"/>
  <c r="H35" i="39"/>
  <c r="H40" i="39"/>
  <c r="H44" i="39"/>
  <c r="H49" i="39"/>
  <c r="H54" i="39"/>
  <c r="H65" i="39"/>
  <c r="H69" i="39"/>
  <c r="H80" i="39"/>
  <c r="H84" i="39"/>
  <c r="H95" i="39"/>
  <c r="H104" i="39"/>
  <c r="H119" i="39"/>
  <c r="H130" i="39"/>
  <c r="H134" i="39"/>
  <c r="P5" i="39"/>
  <c r="P19" i="39"/>
  <c r="P25" i="39"/>
  <c r="P39" i="39"/>
  <c r="P45" i="39"/>
  <c r="P59" i="39"/>
  <c r="P79" i="39"/>
  <c r="P85" i="39"/>
  <c r="P99" i="39"/>
  <c r="P105" i="39"/>
  <c r="P125" i="39"/>
  <c r="H25" i="39"/>
  <c r="H39" i="39"/>
  <c r="J54" i="39"/>
  <c r="H60" i="39"/>
  <c r="H64" i="39"/>
  <c r="J65" i="39"/>
  <c r="H75" i="39"/>
  <c r="H90" i="39"/>
  <c r="H110" i="39"/>
  <c r="H114" i="39"/>
  <c r="H129" i="39"/>
  <c r="P20" i="39"/>
  <c r="P34" i="39"/>
  <c r="P74" i="39"/>
  <c r="P94" i="39"/>
  <c r="P100" i="39"/>
  <c r="P120" i="39"/>
  <c r="H10" i="39"/>
  <c r="H15" i="39"/>
  <c r="H24" i="39"/>
  <c r="H29" i="39"/>
  <c r="H50" i="39"/>
  <c r="H55" i="39"/>
  <c r="H70" i="39"/>
  <c r="H109" i="39"/>
  <c r="J110" i="39"/>
  <c r="H135" i="39"/>
  <c r="P89" i="39"/>
  <c r="P115" i="39"/>
  <c r="P129" i="39"/>
  <c r="H124" i="39"/>
  <c r="J61" i="39" a="1"/>
  <c r="J21" i="39" a="1"/>
  <c r="J11" i="39" a="1"/>
  <c r="J56" i="39" a="1"/>
  <c r="J31" i="39" a="1"/>
  <c r="J46" i="39" a="1"/>
  <c r="J126" i="39" a="1"/>
  <c r="R147" i="40" l="1"/>
  <c r="J159" i="40"/>
  <c r="L159" i="40" s="1"/>
  <c r="R152" i="40"/>
  <c r="P136" i="39"/>
  <c r="J136" i="39" a="1"/>
  <c r="J86" i="39" a="1"/>
  <c r="J86" i="39" s="1"/>
  <c r="J101" i="39" a="1"/>
  <c r="J101" i="39" s="1"/>
  <c r="J36" i="39" a="1"/>
  <c r="J36" i="39" s="1"/>
  <c r="J121" i="39" a="1"/>
  <c r="J121" i="39" s="1"/>
  <c r="J76" i="39" a="1"/>
  <c r="J76" i="39" s="1"/>
  <c r="J6" i="39" a="1"/>
  <c r="J6" i="39" s="1"/>
  <c r="J81" i="39" a="1"/>
  <c r="J81" i="39" s="1"/>
  <c r="J131" i="39" a="1"/>
  <c r="J131" i="39" s="1"/>
  <c r="J66" i="39" a="1"/>
  <c r="J66" i="39" s="1"/>
  <c r="J116" i="39" a="1"/>
  <c r="J116" i="39" s="1"/>
  <c r="J26" i="39" a="1"/>
  <c r="J26" i="39" s="1"/>
  <c r="J111" i="39" a="1"/>
  <c r="J111" i="39" s="1"/>
  <c r="J51" i="39" a="1"/>
  <c r="J51" i="39" s="1"/>
  <c r="J91" i="39" a="1"/>
  <c r="J91" i="39" s="1"/>
  <c r="J16" i="39" a="1"/>
  <c r="J16" i="39" s="1"/>
  <c r="J96" i="39" a="1"/>
  <c r="J96" i="39" s="1"/>
  <c r="J71" i="39" a="1"/>
  <c r="J71" i="39" s="1"/>
  <c r="J41" i="39" a="1"/>
  <c r="J41" i="39" s="1"/>
  <c r="J106" i="39" a="1"/>
  <c r="J106" i="39" s="1"/>
  <c r="H106" i="39"/>
  <c r="P106" i="39"/>
  <c r="H61" i="39"/>
  <c r="P61" i="39"/>
  <c r="H126" i="39"/>
  <c r="P126" i="39"/>
  <c r="H46" i="39"/>
  <c r="P46" i="39"/>
  <c r="P31" i="39"/>
  <c r="J31" i="39"/>
  <c r="H31" i="39"/>
  <c r="P56" i="39"/>
  <c r="H56" i="39"/>
  <c r="J56" i="39"/>
  <c r="J11" i="39"/>
  <c r="P11" i="39"/>
  <c r="H11" i="39"/>
  <c r="P21" i="39"/>
  <c r="H21" i="39"/>
  <c r="J21" i="39"/>
  <c r="J46" i="39"/>
  <c r="J61" i="39"/>
  <c r="J126" i="39"/>
  <c r="P116" i="39"/>
  <c r="H116" i="39"/>
  <c r="P86" i="39"/>
  <c r="H86" i="39"/>
  <c r="P26" i="39"/>
  <c r="H26" i="39"/>
  <c r="H101" i="39"/>
  <c r="P101" i="39"/>
  <c r="P111" i="39"/>
  <c r="H111" i="39"/>
  <c r="P36" i="39"/>
  <c r="H36" i="39"/>
  <c r="H121" i="39"/>
  <c r="P121" i="39"/>
  <c r="P51" i="39"/>
  <c r="H51" i="39"/>
  <c r="P76" i="39"/>
  <c r="H76" i="39"/>
  <c r="H6" i="39"/>
  <c r="P6" i="39"/>
  <c r="H81" i="39"/>
  <c r="P81" i="39"/>
  <c r="H136" i="39"/>
  <c r="H131" i="39"/>
  <c r="P131" i="39"/>
  <c r="H66" i="39"/>
  <c r="P66" i="39"/>
  <c r="P91" i="39"/>
  <c r="H91" i="39"/>
  <c r="P16" i="39"/>
  <c r="H16" i="39"/>
  <c r="P96" i="39"/>
  <c r="H96" i="39"/>
  <c r="H71" i="39"/>
  <c r="P71" i="39"/>
  <c r="P41" i="39"/>
  <c r="H41" i="39"/>
  <c r="J136" i="39"/>
  <c r="N159" i="39"/>
  <c r="T157" i="39"/>
  <c r="N157" i="39"/>
  <c r="T156" i="39"/>
  <c r="N156" i="39"/>
  <c r="T155" i="39"/>
  <c r="N155" i="39"/>
  <c r="T154" i="39"/>
  <c r="N154" i="39"/>
  <c r="T152" i="39"/>
  <c r="N152" i="39"/>
  <c r="T151" i="39"/>
  <c r="N151" i="39"/>
  <c r="T150" i="39"/>
  <c r="N150" i="39"/>
  <c r="T149" i="39"/>
  <c r="N149" i="39"/>
  <c r="T147" i="39"/>
  <c r="N147" i="39"/>
  <c r="T146" i="39"/>
  <c r="N146" i="39"/>
  <c r="T145" i="39"/>
  <c r="N145" i="39"/>
  <c r="T144" i="39"/>
  <c r="N144" i="39"/>
  <c r="T142" i="39"/>
  <c r="N142" i="39"/>
  <c r="T141" i="39"/>
  <c r="N141" i="39"/>
  <c r="T140" i="39"/>
  <c r="N140" i="39"/>
  <c r="T139" i="39"/>
  <c r="N139" i="39"/>
  <c r="T137" i="39"/>
  <c r="N137" i="39"/>
  <c r="T136" i="39"/>
  <c r="N136" i="39"/>
  <c r="T135" i="39"/>
  <c r="N135" i="39"/>
  <c r="T134" i="39"/>
  <c r="N134" i="39"/>
  <c r="T132" i="39"/>
  <c r="N132" i="39"/>
  <c r="T131" i="39"/>
  <c r="N131" i="39"/>
  <c r="T130" i="39"/>
  <c r="N130" i="39"/>
  <c r="T129" i="39"/>
  <c r="N129" i="39"/>
  <c r="T127" i="39"/>
  <c r="N127" i="39"/>
  <c r="T126" i="39"/>
  <c r="N126" i="39"/>
  <c r="T125" i="39"/>
  <c r="N125" i="39"/>
  <c r="T124" i="39"/>
  <c r="N124" i="39"/>
  <c r="T122" i="39"/>
  <c r="N122" i="39"/>
  <c r="T121" i="39"/>
  <c r="N121" i="39"/>
  <c r="T120" i="39"/>
  <c r="N120" i="39"/>
  <c r="T119" i="39"/>
  <c r="N119" i="39"/>
  <c r="T117" i="39"/>
  <c r="N117" i="39"/>
  <c r="T116" i="39"/>
  <c r="N116" i="39"/>
  <c r="T115" i="39"/>
  <c r="N115" i="39"/>
  <c r="T114" i="39"/>
  <c r="N114" i="39"/>
  <c r="T112" i="39"/>
  <c r="N112" i="39"/>
  <c r="T111" i="39"/>
  <c r="N111" i="39"/>
  <c r="T110" i="39"/>
  <c r="N110" i="39"/>
  <c r="T109" i="39"/>
  <c r="N109" i="39"/>
  <c r="T107" i="39"/>
  <c r="N107" i="39"/>
  <c r="T106" i="39"/>
  <c r="N106" i="39"/>
  <c r="T105" i="39"/>
  <c r="N105" i="39"/>
  <c r="T104" i="39"/>
  <c r="N104" i="39"/>
  <c r="T102" i="39"/>
  <c r="N102" i="39"/>
  <c r="T101" i="39"/>
  <c r="N101" i="39"/>
  <c r="T100" i="39"/>
  <c r="N100" i="39"/>
  <c r="T99" i="39"/>
  <c r="N99" i="39"/>
  <c r="T97" i="39"/>
  <c r="N97" i="39"/>
  <c r="T96" i="39"/>
  <c r="N96" i="39"/>
  <c r="T95" i="39"/>
  <c r="N95" i="39"/>
  <c r="T94" i="39"/>
  <c r="N94" i="39"/>
  <c r="T92" i="39"/>
  <c r="N92" i="39"/>
  <c r="T91" i="39"/>
  <c r="N91" i="39"/>
  <c r="T90" i="39"/>
  <c r="N90" i="39"/>
  <c r="T89" i="39"/>
  <c r="N89" i="39"/>
  <c r="T87" i="39"/>
  <c r="N87" i="39"/>
  <c r="T86" i="39"/>
  <c r="N86" i="39"/>
  <c r="T85" i="39"/>
  <c r="N85" i="39"/>
  <c r="T84" i="39"/>
  <c r="N84" i="39"/>
  <c r="T82" i="39"/>
  <c r="N82" i="39"/>
  <c r="T81" i="39"/>
  <c r="N81" i="39"/>
  <c r="T80" i="39"/>
  <c r="N80" i="39"/>
  <c r="T79" i="39"/>
  <c r="N79" i="39"/>
  <c r="T77" i="39"/>
  <c r="N77" i="39"/>
  <c r="T76" i="39"/>
  <c r="N76" i="39"/>
  <c r="T75" i="39"/>
  <c r="N75" i="39"/>
  <c r="T74" i="39"/>
  <c r="N74" i="39"/>
  <c r="T72" i="39"/>
  <c r="N72" i="39"/>
  <c r="T71" i="39"/>
  <c r="N71" i="39"/>
  <c r="T70" i="39"/>
  <c r="N70" i="39"/>
  <c r="T69" i="39"/>
  <c r="N69" i="39"/>
  <c r="T67" i="39"/>
  <c r="N67" i="39"/>
  <c r="T66" i="39"/>
  <c r="N66" i="39"/>
  <c r="T65" i="39"/>
  <c r="N65" i="39"/>
  <c r="T64" i="39"/>
  <c r="N64" i="39"/>
  <c r="T62" i="39"/>
  <c r="N62" i="39"/>
  <c r="T61" i="39"/>
  <c r="N61" i="39"/>
  <c r="T60" i="39"/>
  <c r="N60" i="39"/>
  <c r="T59" i="39"/>
  <c r="N59" i="39"/>
  <c r="T57" i="39"/>
  <c r="N57" i="39"/>
  <c r="T56" i="39"/>
  <c r="N56" i="39"/>
  <c r="T55" i="39"/>
  <c r="N55" i="39"/>
  <c r="T54" i="39"/>
  <c r="N54" i="39"/>
  <c r="T52" i="39"/>
  <c r="N52" i="39"/>
  <c r="T51" i="39"/>
  <c r="N51" i="39"/>
  <c r="T50" i="39"/>
  <c r="N50" i="39"/>
  <c r="T49" i="39"/>
  <c r="N49" i="39"/>
  <c r="T47" i="39"/>
  <c r="N47" i="39"/>
  <c r="T46" i="39"/>
  <c r="N46" i="39"/>
  <c r="T45" i="39"/>
  <c r="N45" i="39"/>
  <c r="T44" i="39"/>
  <c r="N44" i="39"/>
  <c r="T42" i="39"/>
  <c r="N42" i="39"/>
  <c r="T41" i="39"/>
  <c r="N41" i="39"/>
  <c r="T40" i="39"/>
  <c r="N40" i="39"/>
  <c r="T39" i="39"/>
  <c r="N39" i="39"/>
  <c r="T37" i="39"/>
  <c r="N37" i="39"/>
  <c r="T36" i="39"/>
  <c r="N36" i="39"/>
  <c r="T35" i="39"/>
  <c r="N35" i="39"/>
  <c r="T34" i="39"/>
  <c r="N34" i="39"/>
  <c r="T32" i="39"/>
  <c r="N32" i="39"/>
  <c r="T31" i="39"/>
  <c r="N31" i="39"/>
  <c r="T30" i="39"/>
  <c r="N30" i="39"/>
  <c r="T29" i="39"/>
  <c r="N29" i="39"/>
  <c r="T27" i="39"/>
  <c r="N27" i="39"/>
  <c r="T26" i="39"/>
  <c r="N26" i="39"/>
  <c r="T25" i="39"/>
  <c r="N25" i="39"/>
  <c r="T24" i="39"/>
  <c r="N24" i="39"/>
  <c r="T22" i="39"/>
  <c r="N22" i="39"/>
  <c r="T21" i="39"/>
  <c r="N21" i="39"/>
  <c r="T20" i="39"/>
  <c r="N20" i="39"/>
  <c r="T19" i="39"/>
  <c r="N19" i="39"/>
  <c r="T17" i="39"/>
  <c r="N17" i="39"/>
  <c r="T16" i="39"/>
  <c r="N16" i="39"/>
  <c r="T15" i="39"/>
  <c r="N15" i="39"/>
  <c r="T14" i="39"/>
  <c r="N14" i="39"/>
  <c r="T12" i="39"/>
  <c r="N12" i="39"/>
  <c r="T11" i="39"/>
  <c r="N11" i="39"/>
  <c r="T10" i="39"/>
  <c r="N10" i="39"/>
  <c r="T9" i="39"/>
  <c r="N9" i="39"/>
  <c r="T7" i="39"/>
  <c r="N7" i="39"/>
  <c r="T6" i="39"/>
  <c r="N6" i="39"/>
  <c r="T5" i="39"/>
  <c r="N5" i="39"/>
  <c r="T4" i="39"/>
  <c r="N4" i="39"/>
  <c r="R159" i="40" l="1"/>
  <c r="T159" i="40"/>
  <c r="T137" i="37" l="1"/>
  <c r="N137" i="37"/>
  <c r="T136" i="37"/>
  <c r="N136" i="37"/>
  <c r="T135" i="37"/>
  <c r="N135" i="37"/>
  <c r="T134" i="37"/>
  <c r="N134" i="37"/>
  <c r="T137" i="38" l="1"/>
  <c r="N137" i="38"/>
  <c r="T136" i="38"/>
  <c r="N136" i="38"/>
  <c r="T135" i="38"/>
  <c r="N135" i="38"/>
  <c r="T134" i="38"/>
  <c r="N134" i="38"/>
  <c r="N159" i="38"/>
  <c r="T157" i="38"/>
  <c r="N157" i="38"/>
  <c r="T156" i="38"/>
  <c r="N156" i="38"/>
  <c r="T155" i="38"/>
  <c r="N155" i="38"/>
  <c r="T154" i="38"/>
  <c r="N154" i="38"/>
  <c r="T152" i="38"/>
  <c r="N152" i="38"/>
  <c r="T151" i="38"/>
  <c r="N151" i="38"/>
  <c r="T150" i="38"/>
  <c r="N150" i="38"/>
  <c r="T149" i="38"/>
  <c r="N149" i="38"/>
  <c r="T147" i="38"/>
  <c r="N147" i="38"/>
  <c r="T146" i="38"/>
  <c r="N146" i="38"/>
  <c r="T145" i="38"/>
  <c r="N145" i="38"/>
  <c r="T144" i="38"/>
  <c r="N144" i="38"/>
  <c r="T142" i="38"/>
  <c r="N142" i="38"/>
  <c r="T141" i="38"/>
  <c r="N141" i="38"/>
  <c r="T140" i="38"/>
  <c r="N140" i="38"/>
  <c r="T139" i="38"/>
  <c r="N139" i="38"/>
  <c r="T132" i="38"/>
  <c r="N132" i="38"/>
  <c r="T131" i="38"/>
  <c r="N131" i="38"/>
  <c r="T130" i="38"/>
  <c r="N130" i="38"/>
  <c r="T129" i="38"/>
  <c r="N129" i="38"/>
  <c r="T127" i="38"/>
  <c r="N127" i="38"/>
  <c r="T126" i="38"/>
  <c r="N126" i="38"/>
  <c r="T125" i="38"/>
  <c r="N125" i="38"/>
  <c r="T124" i="38"/>
  <c r="N124" i="38"/>
  <c r="T122" i="38"/>
  <c r="N122" i="38"/>
  <c r="T121" i="38"/>
  <c r="N121" i="38"/>
  <c r="T120" i="38"/>
  <c r="N120" i="38"/>
  <c r="T119" i="38"/>
  <c r="N119" i="38"/>
  <c r="T117" i="38"/>
  <c r="N117" i="38"/>
  <c r="T116" i="38"/>
  <c r="N116" i="38"/>
  <c r="T115" i="38"/>
  <c r="N115" i="38"/>
  <c r="T114" i="38"/>
  <c r="N114" i="38"/>
  <c r="T112" i="38"/>
  <c r="N112" i="38"/>
  <c r="T111" i="38"/>
  <c r="N111" i="38"/>
  <c r="T110" i="38"/>
  <c r="N110" i="38"/>
  <c r="T109" i="38"/>
  <c r="N109" i="38"/>
  <c r="T107" i="38"/>
  <c r="N107" i="38"/>
  <c r="T106" i="38"/>
  <c r="N106" i="38"/>
  <c r="T105" i="38"/>
  <c r="N105" i="38"/>
  <c r="T104" i="38"/>
  <c r="N104" i="38"/>
  <c r="T102" i="38"/>
  <c r="N102" i="38"/>
  <c r="T101" i="38"/>
  <c r="N101" i="38"/>
  <c r="T100" i="38"/>
  <c r="N100" i="38"/>
  <c r="T99" i="38"/>
  <c r="N99" i="38"/>
  <c r="T97" i="38"/>
  <c r="N97" i="38"/>
  <c r="T96" i="38"/>
  <c r="N96" i="38"/>
  <c r="T95" i="38"/>
  <c r="N95" i="38"/>
  <c r="T94" i="38"/>
  <c r="N94" i="38"/>
  <c r="T92" i="38"/>
  <c r="N92" i="38"/>
  <c r="T91" i="38"/>
  <c r="N91" i="38"/>
  <c r="T90" i="38"/>
  <c r="N90" i="38"/>
  <c r="T89" i="38"/>
  <c r="N89" i="38"/>
  <c r="T87" i="38"/>
  <c r="N87" i="38"/>
  <c r="T86" i="38"/>
  <c r="N86" i="38"/>
  <c r="T85" i="38"/>
  <c r="N85" i="38"/>
  <c r="T84" i="38"/>
  <c r="N84" i="38"/>
  <c r="T82" i="38"/>
  <c r="N82" i="38"/>
  <c r="T81" i="38"/>
  <c r="N81" i="38"/>
  <c r="T80" i="38"/>
  <c r="N80" i="38"/>
  <c r="T79" i="38"/>
  <c r="N79" i="38"/>
  <c r="T77" i="38"/>
  <c r="N77" i="38"/>
  <c r="T76" i="38"/>
  <c r="N76" i="38"/>
  <c r="T75" i="38"/>
  <c r="N75" i="38"/>
  <c r="T74" i="38"/>
  <c r="N74" i="38"/>
  <c r="T72" i="38"/>
  <c r="N72" i="38"/>
  <c r="T71" i="38"/>
  <c r="N71" i="38"/>
  <c r="T70" i="38"/>
  <c r="N70" i="38"/>
  <c r="T69" i="38"/>
  <c r="N69" i="38"/>
  <c r="T67" i="38"/>
  <c r="N67" i="38"/>
  <c r="T66" i="38"/>
  <c r="N66" i="38"/>
  <c r="T65" i="38"/>
  <c r="N65" i="38"/>
  <c r="T64" i="38"/>
  <c r="N64" i="38"/>
  <c r="T62" i="38"/>
  <c r="N62" i="38"/>
  <c r="T61" i="38"/>
  <c r="N61" i="38"/>
  <c r="T60" i="38"/>
  <c r="N60" i="38"/>
  <c r="T59" i="38"/>
  <c r="N59" i="38"/>
  <c r="T57" i="38"/>
  <c r="N57" i="38"/>
  <c r="T56" i="38"/>
  <c r="N56" i="38"/>
  <c r="T55" i="38"/>
  <c r="N55" i="38"/>
  <c r="T54" i="38"/>
  <c r="N54" i="38"/>
  <c r="T52" i="38"/>
  <c r="N52" i="38"/>
  <c r="T51" i="38"/>
  <c r="N51" i="38"/>
  <c r="T50" i="38"/>
  <c r="N50" i="38"/>
  <c r="T49" i="38"/>
  <c r="N49" i="38"/>
  <c r="T47" i="38"/>
  <c r="N47" i="38"/>
  <c r="T46" i="38"/>
  <c r="N46" i="38"/>
  <c r="T45" i="38"/>
  <c r="N45" i="38"/>
  <c r="T44" i="38"/>
  <c r="N44" i="38"/>
  <c r="T42" i="38"/>
  <c r="N42" i="38"/>
  <c r="T41" i="38"/>
  <c r="N41" i="38"/>
  <c r="T40" i="38"/>
  <c r="N40" i="38"/>
  <c r="T39" i="38"/>
  <c r="N39" i="38"/>
  <c r="T37" i="38"/>
  <c r="N37" i="38"/>
  <c r="T36" i="38"/>
  <c r="N36" i="38"/>
  <c r="T35" i="38"/>
  <c r="N35" i="38"/>
  <c r="T34" i="38"/>
  <c r="N34" i="38"/>
  <c r="T32" i="38"/>
  <c r="N32" i="38"/>
  <c r="T31" i="38"/>
  <c r="N31" i="38"/>
  <c r="T30" i="38"/>
  <c r="N30" i="38"/>
  <c r="T29" i="38"/>
  <c r="N29" i="38"/>
  <c r="T27" i="38"/>
  <c r="N27" i="38"/>
  <c r="T26" i="38"/>
  <c r="N26" i="38"/>
  <c r="T25" i="38"/>
  <c r="N25" i="38"/>
  <c r="T24" i="38"/>
  <c r="N24" i="38"/>
  <c r="T22" i="38"/>
  <c r="N22" i="38"/>
  <c r="T21" i="38"/>
  <c r="N21" i="38"/>
  <c r="T20" i="38"/>
  <c r="N20" i="38"/>
  <c r="T19" i="38"/>
  <c r="N19" i="38"/>
  <c r="T17" i="38"/>
  <c r="N17" i="38"/>
  <c r="T16" i="38"/>
  <c r="N16" i="38"/>
  <c r="T15" i="38"/>
  <c r="N15" i="38"/>
  <c r="T14" i="38"/>
  <c r="N14" i="38"/>
  <c r="T12" i="38"/>
  <c r="N12" i="38"/>
  <c r="T11" i="38"/>
  <c r="N11" i="38"/>
  <c r="T10" i="38"/>
  <c r="N10" i="38"/>
  <c r="T9" i="38"/>
  <c r="N9" i="38"/>
  <c r="T7" i="38"/>
  <c r="N7" i="38"/>
  <c r="T6" i="38"/>
  <c r="N6" i="38"/>
  <c r="T5" i="38"/>
  <c r="N5" i="38"/>
  <c r="T4" i="38"/>
  <c r="N4" i="38"/>
  <c r="J91" i="38" l="1" a="1"/>
  <c r="J91" i="38" s="1"/>
  <c r="J16" i="38" a="1"/>
  <c r="J16" i="38" s="1"/>
  <c r="J71" i="38" a="1"/>
  <c r="J71" i="38" s="1"/>
  <c r="J41" i="38" a="1"/>
  <c r="J41" i="38" s="1"/>
  <c r="J61" i="38" a="1"/>
  <c r="J61" i="38" s="1"/>
  <c r="J66" i="38" a="1"/>
  <c r="H42" i="39"/>
  <c r="J106" i="38" a="1"/>
  <c r="J106" i="38" s="1"/>
  <c r="J31" i="38" a="1"/>
  <c r="J31" i="38" s="1"/>
  <c r="J96" i="38" a="1"/>
  <c r="J96" i="38" s="1"/>
  <c r="J126" i="38" a="1"/>
  <c r="J126" i="38" s="1"/>
  <c r="J46" i="38" a="1"/>
  <c r="J46" i="38" s="1"/>
  <c r="J56" i="38" a="1"/>
  <c r="J56" i="38" s="1"/>
  <c r="J11" i="38" a="1"/>
  <c r="J11" i="38" s="1"/>
  <c r="J21" i="38" a="1"/>
  <c r="J21" i="38" s="1"/>
  <c r="J116" i="38" a="1"/>
  <c r="J116" i="38" s="1"/>
  <c r="J86" i="38" a="1"/>
  <c r="J86" i="38" s="1"/>
  <c r="J26" i="38" a="1"/>
  <c r="J26" i="38" s="1"/>
  <c r="J101" i="38" a="1"/>
  <c r="J101" i="38" s="1"/>
  <c r="J111" i="38" a="1"/>
  <c r="J111" i="38" s="1"/>
  <c r="J36" i="38" a="1"/>
  <c r="J36" i="38" s="1"/>
  <c r="J121" i="38" a="1"/>
  <c r="J121" i="38" s="1"/>
  <c r="J51" i="38" a="1"/>
  <c r="J51" i="38" s="1"/>
  <c r="J76" i="38" a="1"/>
  <c r="J76" i="38" s="1"/>
  <c r="J6" i="38" a="1"/>
  <c r="J6" i="38" s="1"/>
  <c r="J81" i="38" a="1"/>
  <c r="J81" i="38" s="1"/>
  <c r="J131" i="38" a="1"/>
  <c r="J131" i="38" s="1"/>
  <c r="J136" i="38" a="1"/>
  <c r="J136" i="38" s="1"/>
  <c r="P136" i="38"/>
  <c r="J134" i="38" a="1"/>
  <c r="J134" i="38" s="1"/>
  <c r="P134" i="38"/>
  <c r="J135" i="38" a="1"/>
  <c r="J135" i="38" s="1"/>
  <c r="P135" i="38"/>
  <c r="H61" i="38"/>
  <c r="P61" i="38"/>
  <c r="H126" i="38"/>
  <c r="P126" i="38"/>
  <c r="H46" i="38"/>
  <c r="P46" i="38"/>
  <c r="P31" i="38"/>
  <c r="H31" i="38"/>
  <c r="P56" i="38"/>
  <c r="H56" i="38"/>
  <c r="H11" i="38"/>
  <c r="P11" i="38"/>
  <c r="P21" i="38"/>
  <c r="H21" i="38"/>
  <c r="H120" i="38"/>
  <c r="P120" i="38"/>
  <c r="J120" i="38" a="1"/>
  <c r="J120" i="38" s="1"/>
  <c r="P45" i="38"/>
  <c r="H45" i="38"/>
  <c r="J45" i="38" a="1"/>
  <c r="J45" i="38" s="1"/>
  <c r="P10" i="38"/>
  <c r="J10" i="38" a="1"/>
  <c r="J10" i="38" s="1"/>
  <c r="H10" i="38"/>
  <c r="J75" i="38" a="1"/>
  <c r="J75" i="38" s="1"/>
  <c r="H75" i="38"/>
  <c r="P75" i="38"/>
  <c r="H80" i="38"/>
  <c r="J80" i="38" a="1"/>
  <c r="J80" i="38" s="1"/>
  <c r="P80" i="38"/>
  <c r="H134" i="38"/>
  <c r="J129" i="38" a="1"/>
  <c r="J129" i="38" s="1"/>
  <c r="H129" i="38"/>
  <c r="P129" i="38"/>
  <c r="P4" i="38"/>
  <c r="H4" i="38"/>
  <c r="J4" i="38" a="1"/>
  <c r="J4" i="38" s="1"/>
  <c r="J69" i="38" a="1"/>
  <c r="J69" i="38" s="1"/>
  <c r="H69" i="38"/>
  <c r="P69" i="38"/>
  <c r="P104" i="38"/>
  <c r="J104" i="38" a="1"/>
  <c r="J104" i="38" s="1"/>
  <c r="H104" i="38"/>
  <c r="J35" i="38" a="1"/>
  <c r="J35" i="38" s="1"/>
  <c r="H35" i="38"/>
  <c r="P35" i="38"/>
  <c r="J29" i="38" a="1"/>
  <c r="J29" i="38" s="1"/>
  <c r="H29" i="38"/>
  <c r="P29" i="38"/>
  <c r="H60" i="38"/>
  <c r="J60" i="38" a="1"/>
  <c r="J60" i="38" s="1"/>
  <c r="P60" i="38"/>
  <c r="P125" i="38"/>
  <c r="J125" i="38" a="1"/>
  <c r="J125" i="38" s="1"/>
  <c r="H125" i="38"/>
  <c r="J89" i="38" a="1"/>
  <c r="J89" i="38" s="1"/>
  <c r="H89" i="38"/>
  <c r="P89" i="38"/>
  <c r="H14" i="38"/>
  <c r="P14" i="38"/>
  <c r="J14" i="38" a="1"/>
  <c r="J14" i="38" s="1"/>
  <c r="P84" i="38"/>
  <c r="J84" i="38" a="1"/>
  <c r="J84" i="38" s="1"/>
  <c r="H84" i="38"/>
  <c r="J49" i="38" a="1"/>
  <c r="J49" i="38" s="1"/>
  <c r="H49" i="38"/>
  <c r="P49" i="38"/>
  <c r="H94" i="38"/>
  <c r="P94" i="38"/>
  <c r="J94" i="38" a="1"/>
  <c r="J94" i="38" s="1"/>
  <c r="H114" i="38"/>
  <c r="P114" i="38"/>
  <c r="J114" i="38" a="1"/>
  <c r="J114" i="38" s="1"/>
  <c r="H135" i="38"/>
  <c r="P130" i="38"/>
  <c r="J130" i="38" a="1"/>
  <c r="J130" i="38" s="1"/>
  <c r="H130" i="38"/>
  <c r="J5" i="38" a="1"/>
  <c r="J5" i="38" s="1"/>
  <c r="P5" i="38"/>
  <c r="H5" i="38"/>
  <c r="P70" i="38"/>
  <c r="J70" i="38" a="1"/>
  <c r="J70" i="38" s="1"/>
  <c r="H70" i="38"/>
  <c r="P99" i="38"/>
  <c r="J99" i="38" a="1"/>
  <c r="J99" i="38" s="1"/>
  <c r="H99" i="38"/>
  <c r="P105" i="38"/>
  <c r="J105" i="38" a="1"/>
  <c r="J105" i="38" s="1"/>
  <c r="H105" i="38"/>
  <c r="P24" i="38"/>
  <c r="H24" i="38"/>
  <c r="J24" i="38" a="1"/>
  <c r="J24" i="38" s="1"/>
  <c r="P91" i="38"/>
  <c r="H91" i="38"/>
  <c r="P16" i="38"/>
  <c r="H16" i="38"/>
  <c r="P96" i="38"/>
  <c r="H96" i="38"/>
  <c r="P71" i="38"/>
  <c r="H71" i="38"/>
  <c r="H41" i="38"/>
  <c r="P41" i="38"/>
  <c r="H106" i="38"/>
  <c r="P106" i="38"/>
  <c r="P116" i="38"/>
  <c r="H116" i="38"/>
  <c r="H86" i="38"/>
  <c r="P86" i="38"/>
  <c r="H26" i="38"/>
  <c r="P26" i="38"/>
  <c r="H101" i="38"/>
  <c r="P101" i="38"/>
  <c r="P111" i="38"/>
  <c r="H111" i="38"/>
  <c r="P36" i="38"/>
  <c r="H36" i="38"/>
  <c r="H121" i="38"/>
  <c r="P121" i="38"/>
  <c r="P51" i="38"/>
  <c r="H51" i="38"/>
  <c r="P76" i="38"/>
  <c r="H76" i="38"/>
  <c r="H6" i="38"/>
  <c r="P6" i="38"/>
  <c r="H81" i="38"/>
  <c r="P81" i="38"/>
  <c r="H136" i="38"/>
  <c r="P131" i="38"/>
  <c r="H131" i="38"/>
  <c r="H66" i="38"/>
  <c r="P66" i="38"/>
  <c r="J66" i="38"/>
  <c r="J115" i="38" a="1"/>
  <c r="J115" i="38" s="1"/>
  <c r="H115" i="38"/>
  <c r="P115" i="38"/>
  <c r="J15" i="38" a="1"/>
  <c r="J15" i="38" s="1"/>
  <c r="H15" i="38"/>
  <c r="P15" i="38"/>
  <c r="P85" i="38"/>
  <c r="J85" i="38" a="1"/>
  <c r="J85" i="38" s="1"/>
  <c r="H85" i="38"/>
  <c r="P50" i="38"/>
  <c r="J50" i="38" a="1"/>
  <c r="J50" i="38" s="1"/>
  <c r="H50" i="38"/>
  <c r="J95" i="38" a="1"/>
  <c r="J95" i="38" s="1"/>
  <c r="H95" i="38"/>
  <c r="P95" i="38"/>
  <c r="P30" i="38"/>
  <c r="J30" i="38" a="1"/>
  <c r="J30" i="38" s="1"/>
  <c r="H30" i="38"/>
  <c r="H54" i="38"/>
  <c r="J54" i="38" a="1"/>
  <c r="J54" i="38" s="1"/>
  <c r="P54" i="38"/>
  <c r="H100" i="38"/>
  <c r="P100" i="38"/>
  <c r="J100" i="38" a="1"/>
  <c r="J100" i="38" s="1"/>
  <c r="J109" i="38" a="1"/>
  <c r="J109" i="38" s="1"/>
  <c r="H109" i="38"/>
  <c r="P109" i="38"/>
  <c r="P64" i="38"/>
  <c r="J64" i="38" a="1"/>
  <c r="J64" i="38" s="1"/>
  <c r="H64" i="38"/>
  <c r="H20" i="38"/>
  <c r="J20" i="38" a="1"/>
  <c r="J20" i="38" s="1"/>
  <c r="P20" i="38"/>
  <c r="P119" i="38"/>
  <c r="J119" i="38" a="1"/>
  <c r="J119" i="38" s="1"/>
  <c r="H119" i="38"/>
  <c r="P90" i="38"/>
  <c r="J90" i="38" a="1"/>
  <c r="J90" i="38" s="1"/>
  <c r="H90" i="38"/>
  <c r="P44" i="38"/>
  <c r="J44" i="38" a="1"/>
  <c r="J44" i="38" s="1"/>
  <c r="H44" i="38"/>
  <c r="J9" i="38" a="1"/>
  <c r="J9" i="38" s="1"/>
  <c r="H9" i="38"/>
  <c r="P9" i="38"/>
  <c r="H74" i="38"/>
  <c r="P74" i="38"/>
  <c r="J74" i="38" a="1"/>
  <c r="J74" i="38" s="1"/>
  <c r="P79" i="38"/>
  <c r="J79" i="38" a="1"/>
  <c r="J79" i="38" s="1"/>
  <c r="H79" i="38"/>
  <c r="J25" i="38" a="1"/>
  <c r="J25" i="38" s="1"/>
  <c r="P25" i="38"/>
  <c r="H25" i="38"/>
  <c r="J55" i="38" a="1"/>
  <c r="J55" i="38" s="1"/>
  <c r="H55" i="38"/>
  <c r="P55" i="38"/>
  <c r="P110" i="38"/>
  <c r="J110" i="38" a="1"/>
  <c r="J110" i="38" s="1"/>
  <c r="H110" i="38"/>
  <c r="H40" i="38"/>
  <c r="J40" i="38" a="1"/>
  <c r="J40" i="38" s="1"/>
  <c r="P40" i="38"/>
  <c r="P124" i="38"/>
  <c r="J124" i="38" a="1"/>
  <c r="J124" i="38" s="1"/>
  <c r="H124" i="38"/>
  <c r="P65" i="38"/>
  <c r="J65" i="38" a="1"/>
  <c r="J65" i="38" s="1"/>
  <c r="H65" i="38"/>
  <c r="P39" i="38"/>
  <c r="J39" i="38" a="1"/>
  <c r="J39" i="38" s="1"/>
  <c r="H39" i="38"/>
  <c r="H34" i="38"/>
  <c r="J34" i="38" a="1"/>
  <c r="J34" i="38" s="1"/>
  <c r="P34" i="38"/>
  <c r="H19" i="38"/>
  <c r="P19" i="38"/>
  <c r="J19" i="38" a="1"/>
  <c r="J19" i="38" s="1"/>
  <c r="P59" i="38"/>
  <c r="J59" i="38" a="1"/>
  <c r="J59" i="38" s="1"/>
  <c r="H59" i="38"/>
  <c r="H127" i="38" l="1"/>
  <c r="L136" i="38"/>
  <c r="R136" i="38"/>
  <c r="H47" i="39"/>
  <c r="L135" i="38"/>
  <c r="L135" i="39"/>
  <c r="H57" i="39"/>
  <c r="H145" i="39"/>
  <c r="R105" i="39"/>
  <c r="L110" i="39"/>
  <c r="R130" i="39"/>
  <c r="L75" i="39"/>
  <c r="L86" i="39"/>
  <c r="L100" i="39"/>
  <c r="L50" i="39"/>
  <c r="L35" i="39"/>
  <c r="H141" i="39"/>
  <c r="L36" i="39"/>
  <c r="R111" i="39"/>
  <c r="L106" i="39"/>
  <c r="L66" i="39"/>
  <c r="L116" i="39"/>
  <c r="L11" i="39"/>
  <c r="H37" i="39"/>
  <c r="L131" i="39"/>
  <c r="R56" i="39"/>
  <c r="R131" i="39"/>
  <c r="R116" i="39"/>
  <c r="R21" i="39"/>
  <c r="R71" i="39"/>
  <c r="L126" i="39"/>
  <c r="R96" i="39"/>
  <c r="H112" i="39"/>
  <c r="L21" i="39"/>
  <c r="H12" i="38"/>
  <c r="L10" i="39"/>
  <c r="L55" i="39"/>
  <c r="L134" i="38"/>
  <c r="L40" i="39"/>
  <c r="L95" i="39"/>
  <c r="L85" i="39"/>
  <c r="R85" i="39"/>
  <c r="R101" i="39"/>
  <c r="L101" i="39"/>
  <c r="R46" i="39"/>
  <c r="L46" i="39"/>
  <c r="R61" i="39"/>
  <c r="L61" i="39"/>
  <c r="H146" i="39"/>
  <c r="P156" i="39"/>
  <c r="R91" i="39"/>
  <c r="R81" i="39"/>
  <c r="L81" i="39"/>
  <c r="L6" i="39"/>
  <c r="J141" i="39"/>
  <c r="R76" i="39"/>
  <c r="R86" i="39"/>
  <c r="R31" i="39"/>
  <c r="H151" i="39"/>
  <c r="R41" i="39"/>
  <c r="H47" i="38"/>
  <c r="L105" i="39"/>
  <c r="H77" i="39"/>
  <c r="R66" i="39"/>
  <c r="P141" i="39"/>
  <c r="R6" i="39"/>
  <c r="L51" i="39"/>
  <c r="R121" i="39"/>
  <c r="L121" i="39"/>
  <c r="R36" i="39"/>
  <c r="R11" i="39"/>
  <c r="L56" i="39"/>
  <c r="R126" i="39"/>
  <c r="P151" i="39"/>
  <c r="R106" i="39"/>
  <c r="L16" i="39"/>
  <c r="J146" i="39"/>
  <c r="J156" i="39"/>
  <c r="L91" i="39"/>
  <c r="R136" i="39"/>
  <c r="L76" i="39"/>
  <c r="R51" i="39"/>
  <c r="L111" i="39"/>
  <c r="R26" i="39"/>
  <c r="L26" i="39"/>
  <c r="L31" i="39"/>
  <c r="L41" i="39"/>
  <c r="L71" i="39"/>
  <c r="J151" i="39"/>
  <c r="L96" i="39"/>
  <c r="P146" i="39"/>
  <c r="R16" i="39"/>
  <c r="H156" i="39"/>
  <c r="L136" i="39"/>
  <c r="L130" i="39"/>
  <c r="L45" i="39"/>
  <c r="R95" i="39"/>
  <c r="R115" i="39"/>
  <c r="H107" i="39"/>
  <c r="R10" i="39"/>
  <c r="R55" i="39"/>
  <c r="R59" i="39"/>
  <c r="P62" i="39"/>
  <c r="P149" i="39"/>
  <c r="L34" i="39"/>
  <c r="J37" i="39"/>
  <c r="P42" i="39"/>
  <c r="R39" i="39"/>
  <c r="R65" i="39"/>
  <c r="R135" i="39"/>
  <c r="R20" i="39"/>
  <c r="L109" i="39"/>
  <c r="J112" i="39"/>
  <c r="L112" i="39" s="1"/>
  <c r="R54" i="39"/>
  <c r="P57" i="39"/>
  <c r="H97" i="39"/>
  <c r="P144" i="39"/>
  <c r="R14" i="39"/>
  <c r="P17" i="39"/>
  <c r="J137" i="39"/>
  <c r="L134" i="39"/>
  <c r="H27" i="39"/>
  <c r="J102" i="39"/>
  <c r="L99" i="39"/>
  <c r="R70" i="39"/>
  <c r="L5" i="39"/>
  <c r="J140" i="39"/>
  <c r="J52" i="39"/>
  <c r="L49" i="39"/>
  <c r="H87" i="39"/>
  <c r="R125" i="39"/>
  <c r="J72" i="39"/>
  <c r="J149" i="39"/>
  <c r="L69" i="39"/>
  <c r="P132" i="39"/>
  <c r="R129" i="39"/>
  <c r="R110" i="39"/>
  <c r="L74" i="39"/>
  <c r="J77" i="39"/>
  <c r="H122" i="39"/>
  <c r="L29" i="39"/>
  <c r="J32" i="39"/>
  <c r="P7" i="39"/>
  <c r="R4" i="39"/>
  <c r="P139" i="39"/>
  <c r="H82" i="39"/>
  <c r="H12" i="39"/>
  <c r="P22" i="39"/>
  <c r="R19" i="39"/>
  <c r="P37" i="39"/>
  <c r="R37" i="39" s="1"/>
  <c r="R34" i="39"/>
  <c r="J42" i="39"/>
  <c r="L42" i="39" s="1"/>
  <c r="L39" i="39"/>
  <c r="J127" i="39"/>
  <c r="L124" i="39"/>
  <c r="J67" i="39"/>
  <c r="L64" i="39"/>
  <c r="R100" i="39"/>
  <c r="L30" i="39"/>
  <c r="R50" i="39"/>
  <c r="J145" i="39"/>
  <c r="L15" i="39"/>
  <c r="P97" i="39"/>
  <c r="R94" i="39"/>
  <c r="J92" i="39"/>
  <c r="J154" i="39"/>
  <c r="L89" i="39"/>
  <c r="P137" i="39"/>
  <c r="R134" i="39"/>
  <c r="P102" i="39"/>
  <c r="R99" i="39"/>
  <c r="J117" i="39"/>
  <c r="L114" i="39"/>
  <c r="R49" i="39"/>
  <c r="P52" i="39"/>
  <c r="P87" i="39"/>
  <c r="R84" i="39"/>
  <c r="L104" i="39"/>
  <c r="J107" i="39"/>
  <c r="H72" i="39"/>
  <c r="H132" i="39"/>
  <c r="R120" i="39"/>
  <c r="L120" i="39"/>
  <c r="L25" i="39"/>
  <c r="R44" i="39"/>
  <c r="P47" i="39"/>
  <c r="R60" i="39"/>
  <c r="L60" i="39"/>
  <c r="H32" i="39"/>
  <c r="R35" i="39"/>
  <c r="R79" i="39"/>
  <c r="P82" i="39"/>
  <c r="L90" i="39"/>
  <c r="J155" i="39"/>
  <c r="J62" i="39"/>
  <c r="L59" i="39"/>
  <c r="H22" i="39"/>
  <c r="L65" i="39"/>
  <c r="H127" i="39"/>
  <c r="L20" i="39"/>
  <c r="P67" i="39"/>
  <c r="R64" i="39"/>
  <c r="P112" i="39"/>
  <c r="R109" i="39"/>
  <c r="J57" i="39"/>
  <c r="L54" i="39"/>
  <c r="R30" i="39"/>
  <c r="P145" i="39"/>
  <c r="R15" i="39"/>
  <c r="L115" i="39"/>
  <c r="J144" i="39"/>
  <c r="L14" i="39"/>
  <c r="J17" i="39"/>
  <c r="P92" i="39"/>
  <c r="R89" i="39"/>
  <c r="P154" i="39"/>
  <c r="J27" i="39"/>
  <c r="L24" i="39"/>
  <c r="H102" i="39"/>
  <c r="H140" i="39"/>
  <c r="H117" i="39"/>
  <c r="H52" i="39"/>
  <c r="L125" i="39"/>
  <c r="P107" i="39"/>
  <c r="R104" i="39"/>
  <c r="P72" i="39"/>
  <c r="R69" i="39"/>
  <c r="H137" i="39"/>
  <c r="R40" i="39"/>
  <c r="R25" i="39"/>
  <c r="P77" i="39"/>
  <c r="R77" i="39" s="1"/>
  <c r="R74" i="39"/>
  <c r="J122" i="39"/>
  <c r="L119" i="39"/>
  <c r="H150" i="39"/>
  <c r="R29" i="39"/>
  <c r="P32" i="39"/>
  <c r="J7" i="39"/>
  <c r="L4" i="39"/>
  <c r="J139" i="39"/>
  <c r="R75" i="39"/>
  <c r="R45" i="39"/>
  <c r="L9" i="39"/>
  <c r="J12" i="39"/>
  <c r="P155" i="39"/>
  <c r="R90" i="39"/>
  <c r="H149" i="39"/>
  <c r="H62" i="39"/>
  <c r="J22" i="39"/>
  <c r="L19" i="39"/>
  <c r="P127" i="39"/>
  <c r="R124" i="39"/>
  <c r="H67" i="39"/>
  <c r="J97" i="39"/>
  <c r="L94" i="39"/>
  <c r="H144" i="39"/>
  <c r="H17" i="39"/>
  <c r="H92" i="39"/>
  <c r="H154" i="39"/>
  <c r="R24" i="39"/>
  <c r="P27" i="39"/>
  <c r="L70" i="39"/>
  <c r="J150" i="39"/>
  <c r="P140" i="39"/>
  <c r="R5" i="39"/>
  <c r="P117" i="39"/>
  <c r="R114" i="39"/>
  <c r="L84" i="39"/>
  <c r="J87" i="39"/>
  <c r="L129" i="39"/>
  <c r="J132" i="39"/>
  <c r="R80" i="39"/>
  <c r="L80" i="39"/>
  <c r="J47" i="39"/>
  <c r="L44" i="39"/>
  <c r="R119" i="39"/>
  <c r="P122" i="39"/>
  <c r="R122" i="39" s="1"/>
  <c r="P150" i="39"/>
  <c r="H139" i="39"/>
  <c r="H7" i="39"/>
  <c r="J82" i="39"/>
  <c r="L79" i="39"/>
  <c r="P12" i="39"/>
  <c r="R9" i="39"/>
  <c r="H155" i="39"/>
  <c r="L66" i="38"/>
  <c r="L81" i="38"/>
  <c r="L11" i="38"/>
  <c r="L126" i="38"/>
  <c r="H122" i="38"/>
  <c r="H82" i="38"/>
  <c r="R135" i="38"/>
  <c r="L26" i="38"/>
  <c r="L41" i="38"/>
  <c r="H141" i="38"/>
  <c r="L51" i="38"/>
  <c r="H22" i="38"/>
  <c r="L121" i="38"/>
  <c r="L56" i="38"/>
  <c r="L40" i="38"/>
  <c r="J137" i="38"/>
  <c r="L65" i="38"/>
  <c r="L100" i="38"/>
  <c r="H42" i="38"/>
  <c r="P149" i="38"/>
  <c r="R40" i="38"/>
  <c r="L80" i="38"/>
  <c r="R95" i="38"/>
  <c r="H77" i="38"/>
  <c r="L101" i="38"/>
  <c r="L106" i="38"/>
  <c r="L61" i="38"/>
  <c r="R76" i="38"/>
  <c r="R111" i="38"/>
  <c r="R86" i="38"/>
  <c r="R116" i="38"/>
  <c r="R96" i="38"/>
  <c r="R71" i="38"/>
  <c r="L10" i="38"/>
  <c r="L120" i="38"/>
  <c r="L45" i="38"/>
  <c r="R115" i="38"/>
  <c r="L125" i="38"/>
  <c r="P145" i="38"/>
  <c r="L96" i="38"/>
  <c r="P144" i="38"/>
  <c r="P150" i="38"/>
  <c r="R31" i="38"/>
  <c r="P151" i="38"/>
  <c r="P146" i="38"/>
  <c r="L46" i="38"/>
  <c r="R10" i="38"/>
  <c r="L31" i="38"/>
  <c r="L105" i="38"/>
  <c r="L30" i="38"/>
  <c r="L95" i="38"/>
  <c r="R30" i="38"/>
  <c r="L85" i="38"/>
  <c r="R70" i="38"/>
  <c r="L25" i="38"/>
  <c r="L115" i="38"/>
  <c r="R125" i="38"/>
  <c r="R80" i="38"/>
  <c r="R35" i="38"/>
  <c r="R75" i="38"/>
  <c r="L59" i="38"/>
  <c r="J62" i="38"/>
  <c r="J42" i="38"/>
  <c r="L39" i="38"/>
  <c r="L55" i="38"/>
  <c r="P77" i="38"/>
  <c r="R74" i="38"/>
  <c r="H155" i="38"/>
  <c r="J37" i="38"/>
  <c r="L34" i="38"/>
  <c r="P42" i="38"/>
  <c r="R39" i="38"/>
  <c r="L79" i="38"/>
  <c r="J82" i="38"/>
  <c r="H149" i="38"/>
  <c r="H62" i="38"/>
  <c r="P22" i="38"/>
  <c r="R19" i="38"/>
  <c r="J127" i="38"/>
  <c r="L124" i="38"/>
  <c r="R55" i="38"/>
  <c r="R25" i="38"/>
  <c r="P82" i="38"/>
  <c r="R79" i="38"/>
  <c r="P12" i="38"/>
  <c r="R9" i="38"/>
  <c r="J47" i="38"/>
  <c r="L44" i="38"/>
  <c r="P155" i="38"/>
  <c r="R90" i="38"/>
  <c r="H67" i="38"/>
  <c r="H112" i="38"/>
  <c r="R50" i="38"/>
  <c r="P17" i="38"/>
  <c r="R15" i="38"/>
  <c r="R131" i="38"/>
  <c r="L76" i="38"/>
  <c r="L111" i="38"/>
  <c r="R101" i="38"/>
  <c r="L116" i="38"/>
  <c r="R106" i="38"/>
  <c r="H146" i="38"/>
  <c r="P156" i="38"/>
  <c r="R91" i="38"/>
  <c r="H27" i="38"/>
  <c r="R105" i="38"/>
  <c r="P7" i="38"/>
  <c r="R5" i="38"/>
  <c r="P140" i="38"/>
  <c r="L130" i="38"/>
  <c r="P117" i="38"/>
  <c r="R114" i="38"/>
  <c r="H97" i="38"/>
  <c r="H87" i="38"/>
  <c r="R14" i="38"/>
  <c r="J92" i="38"/>
  <c r="J154" i="38"/>
  <c r="L89" i="38"/>
  <c r="R60" i="38"/>
  <c r="H32" i="38"/>
  <c r="L35" i="38"/>
  <c r="R69" i="38"/>
  <c r="P72" i="38"/>
  <c r="H139" i="38"/>
  <c r="H7" i="38"/>
  <c r="H132" i="38"/>
  <c r="L75" i="38"/>
  <c r="R120" i="38"/>
  <c r="L21" i="38"/>
  <c r="R46" i="38"/>
  <c r="P127" i="38"/>
  <c r="R124" i="38"/>
  <c r="L74" i="38"/>
  <c r="J77" i="38"/>
  <c r="P47" i="38"/>
  <c r="R44" i="38"/>
  <c r="L64" i="38"/>
  <c r="J67" i="38"/>
  <c r="J112" i="38"/>
  <c r="L109" i="38"/>
  <c r="P57" i="38"/>
  <c r="R54" i="38"/>
  <c r="H145" i="38"/>
  <c r="L131" i="38"/>
  <c r="L6" i="38"/>
  <c r="J141" i="38"/>
  <c r="R51" i="38"/>
  <c r="R36" i="38"/>
  <c r="L36" i="38"/>
  <c r="L86" i="38"/>
  <c r="J151" i="38"/>
  <c r="L71" i="38"/>
  <c r="R16" i="38"/>
  <c r="P27" i="38"/>
  <c r="R24" i="38"/>
  <c r="H102" i="38"/>
  <c r="J150" i="38"/>
  <c r="L70" i="38"/>
  <c r="L5" i="38"/>
  <c r="J140" i="38"/>
  <c r="R130" i="38"/>
  <c r="H117" i="38"/>
  <c r="P52" i="38"/>
  <c r="R49" i="38"/>
  <c r="L84" i="38"/>
  <c r="J87" i="38"/>
  <c r="H144" i="38"/>
  <c r="H17" i="38"/>
  <c r="L60" i="38"/>
  <c r="J32" i="38"/>
  <c r="L29" i="38"/>
  <c r="H107" i="38"/>
  <c r="H72" i="38"/>
  <c r="R4" i="38"/>
  <c r="P139" i="38"/>
  <c r="J132" i="38"/>
  <c r="L129" i="38"/>
  <c r="R21" i="38"/>
  <c r="P37" i="38"/>
  <c r="R37" i="38" s="1"/>
  <c r="R34" i="38"/>
  <c r="L110" i="38"/>
  <c r="L9" i="38"/>
  <c r="J12" i="38"/>
  <c r="R20" i="38"/>
  <c r="L20" i="38"/>
  <c r="P67" i="38"/>
  <c r="R64" i="38"/>
  <c r="J57" i="38"/>
  <c r="L54" i="38"/>
  <c r="J145" i="38"/>
  <c r="L15" i="38"/>
  <c r="P141" i="38"/>
  <c r="R6" i="38"/>
  <c r="L91" i="38"/>
  <c r="J156" i="38"/>
  <c r="J102" i="38"/>
  <c r="L99" i="38"/>
  <c r="J97" i="38"/>
  <c r="L94" i="38"/>
  <c r="H52" i="38"/>
  <c r="P87" i="38"/>
  <c r="R84" i="38"/>
  <c r="P92" i="38"/>
  <c r="P154" i="38"/>
  <c r="R89" i="38"/>
  <c r="H150" i="38"/>
  <c r="L104" i="38"/>
  <c r="J107" i="38"/>
  <c r="L107" i="38" s="1"/>
  <c r="J149" i="38"/>
  <c r="L69" i="38"/>
  <c r="J72" i="38"/>
  <c r="P132" i="38"/>
  <c r="R129" i="38"/>
  <c r="H137" i="38"/>
  <c r="R45" i="38"/>
  <c r="R61" i="38"/>
  <c r="P62" i="38"/>
  <c r="R59" i="38"/>
  <c r="R65" i="38"/>
  <c r="L119" i="38"/>
  <c r="J122" i="38"/>
  <c r="J22" i="38"/>
  <c r="L19" i="38"/>
  <c r="R110" i="38"/>
  <c r="J155" i="38"/>
  <c r="L90" i="38"/>
  <c r="P122" i="38"/>
  <c r="R119" i="38"/>
  <c r="P112" i="38"/>
  <c r="R109" i="38"/>
  <c r="R100" i="38"/>
  <c r="H57" i="38"/>
  <c r="L50" i="38"/>
  <c r="R85" i="38"/>
  <c r="R66" i="38"/>
  <c r="R81" i="38"/>
  <c r="R121" i="38"/>
  <c r="R26" i="38"/>
  <c r="R41" i="38"/>
  <c r="J146" i="38"/>
  <c r="L16" i="38"/>
  <c r="H156" i="38"/>
  <c r="J27" i="38"/>
  <c r="L24" i="38"/>
  <c r="P102" i="38"/>
  <c r="R99" i="38"/>
  <c r="H140" i="38"/>
  <c r="J117" i="38"/>
  <c r="L114" i="38"/>
  <c r="P97" i="38"/>
  <c r="R94" i="38"/>
  <c r="J52" i="38"/>
  <c r="L49" i="38"/>
  <c r="J17" i="38"/>
  <c r="J144" i="38"/>
  <c r="L14" i="38"/>
  <c r="H92" i="38"/>
  <c r="H154" i="38"/>
  <c r="P32" i="38"/>
  <c r="R29" i="38"/>
  <c r="H37" i="38"/>
  <c r="P107" i="38"/>
  <c r="R104" i="38"/>
  <c r="L4" i="38"/>
  <c r="J139" i="38"/>
  <c r="J7" i="38"/>
  <c r="P137" i="38"/>
  <c r="R134" i="38"/>
  <c r="R11" i="38"/>
  <c r="R56" i="38"/>
  <c r="R126" i="38"/>
  <c r="H151" i="38"/>
  <c r="L107" i="39" l="1"/>
  <c r="R27" i="39"/>
  <c r="R137" i="39"/>
  <c r="L146" i="39"/>
  <c r="L77" i="39"/>
  <c r="L12" i="38"/>
  <c r="R132" i="38"/>
  <c r="L127" i="38"/>
  <c r="H152" i="39"/>
  <c r="L150" i="39"/>
  <c r="R42" i="38"/>
  <c r="L22" i="39"/>
  <c r="L47" i="39"/>
  <c r="L37" i="39"/>
  <c r="L145" i="39"/>
  <c r="L57" i="39"/>
  <c r="L141" i="39"/>
  <c r="L151" i="39"/>
  <c r="R141" i="39"/>
  <c r="H147" i="39"/>
  <c r="L47" i="38"/>
  <c r="R146" i="39"/>
  <c r="L122" i="39"/>
  <c r="R67" i="39"/>
  <c r="R12" i="39"/>
  <c r="H142" i="39"/>
  <c r="R127" i="39"/>
  <c r="R52" i="39"/>
  <c r="L82" i="39"/>
  <c r="L87" i="39"/>
  <c r="R155" i="39"/>
  <c r="R32" i="39"/>
  <c r="L27" i="39"/>
  <c r="L156" i="39"/>
  <c r="R151" i="39"/>
  <c r="R156" i="39"/>
  <c r="R117" i="39"/>
  <c r="L97" i="39"/>
  <c r="R72" i="39"/>
  <c r="R92" i="39"/>
  <c r="R102" i="39"/>
  <c r="R140" i="39"/>
  <c r="L12" i="39"/>
  <c r="R107" i="39"/>
  <c r="R145" i="39"/>
  <c r="L132" i="39"/>
  <c r="R112" i="39"/>
  <c r="L17" i="39"/>
  <c r="L92" i="39"/>
  <c r="R139" i="39"/>
  <c r="J152" i="39"/>
  <c r="L149" i="39"/>
  <c r="R144" i="39"/>
  <c r="P147" i="39"/>
  <c r="L139" i="39"/>
  <c r="P157" i="39"/>
  <c r="R154" i="39"/>
  <c r="R82" i="39"/>
  <c r="R87" i="39"/>
  <c r="L117" i="39"/>
  <c r="L67" i="39"/>
  <c r="R22" i="39"/>
  <c r="L72" i="39"/>
  <c r="L52" i="39"/>
  <c r="L137" i="39"/>
  <c r="P152" i="39"/>
  <c r="R149" i="39"/>
  <c r="H157" i="39"/>
  <c r="J147" i="39"/>
  <c r="L144" i="39"/>
  <c r="L62" i="39"/>
  <c r="R97" i="39"/>
  <c r="R7" i="39"/>
  <c r="P142" i="39"/>
  <c r="R132" i="39"/>
  <c r="L140" i="39"/>
  <c r="L102" i="39"/>
  <c r="R17" i="39"/>
  <c r="R57" i="39"/>
  <c r="R42" i="39"/>
  <c r="R62" i="39"/>
  <c r="R150" i="39"/>
  <c r="J142" i="39"/>
  <c r="L7" i="39"/>
  <c r="L155" i="39"/>
  <c r="R47" i="39"/>
  <c r="J157" i="39"/>
  <c r="L154" i="39"/>
  <c r="L127" i="39"/>
  <c r="L32" i="39"/>
  <c r="L82" i="38"/>
  <c r="L122" i="38"/>
  <c r="L22" i="38"/>
  <c r="L141" i="38"/>
  <c r="R151" i="38"/>
  <c r="L42" i="38"/>
  <c r="L146" i="38"/>
  <c r="R137" i="38"/>
  <c r="L137" i="38"/>
  <c r="L77" i="38"/>
  <c r="L102" i="38"/>
  <c r="R107" i="38"/>
  <c r="L17" i="38"/>
  <c r="L139" i="38"/>
  <c r="R62" i="38"/>
  <c r="L97" i="38"/>
  <c r="L145" i="38"/>
  <c r="L32" i="38"/>
  <c r="L87" i="38"/>
  <c r="R47" i="38"/>
  <c r="R127" i="38"/>
  <c r="L67" i="38"/>
  <c r="L112" i="38"/>
  <c r="R140" i="38"/>
  <c r="R122" i="38"/>
  <c r="R32" i="38"/>
  <c r="L27" i="38"/>
  <c r="R87" i="38"/>
  <c r="L150" i="38"/>
  <c r="R155" i="38"/>
  <c r="R12" i="38"/>
  <c r="H157" i="38"/>
  <c r="R97" i="38"/>
  <c r="R112" i="38"/>
  <c r="L155" i="38"/>
  <c r="R92" i="38"/>
  <c r="J147" i="38"/>
  <c r="L144" i="38"/>
  <c r="J152" i="38"/>
  <c r="L149" i="38"/>
  <c r="R67" i="38"/>
  <c r="R27" i="38"/>
  <c r="L151" i="38"/>
  <c r="R72" i="38"/>
  <c r="R150" i="38"/>
  <c r="L92" i="38"/>
  <c r="R17" i="38"/>
  <c r="R7" i="38"/>
  <c r="J142" i="38"/>
  <c r="L7" i="38"/>
  <c r="P152" i="38"/>
  <c r="R149" i="38"/>
  <c r="P157" i="38"/>
  <c r="R154" i="38"/>
  <c r="R22" i="38"/>
  <c r="R102" i="38"/>
  <c r="L72" i="38"/>
  <c r="R141" i="38"/>
  <c r="L57" i="38"/>
  <c r="L132" i="38"/>
  <c r="L140" i="38"/>
  <c r="R146" i="38"/>
  <c r="R57" i="38"/>
  <c r="P147" i="38"/>
  <c r="R144" i="38"/>
  <c r="R117" i="38"/>
  <c r="P142" i="38"/>
  <c r="R156" i="38"/>
  <c r="R77" i="38"/>
  <c r="L62" i="38"/>
  <c r="L52" i="38"/>
  <c r="L117" i="38"/>
  <c r="L156" i="38"/>
  <c r="R139" i="38"/>
  <c r="H147" i="38"/>
  <c r="R52" i="38"/>
  <c r="H142" i="38"/>
  <c r="J157" i="38"/>
  <c r="L154" i="38"/>
  <c r="R145" i="38"/>
  <c r="R82" i="38"/>
  <c r="H152" i="38"/>
  <c r="L37" i="38"/>
  <c r="R152" i="38" l="1"/>
  <c r="L152" i="39"/>
  <c r="L147" i="39"/>
  <c r="L157" i="39"/>
  <c r="H159" i="39"/>
  <c r="R152" i="39"/>
  <c r="R142" i="39"/>
  <c r="P159" i="39"/>
  <c r="R147" i="39"/>
  <c r="J159" i="39"/>
  <c r="L142" i="39"/>
  <c r="R157" i="39"/>
  <c r="L157" i="38"/>
  <c r="R147" i="38"/>
  <c r="L152" i="38"/>
  <c r="P159" i="38"/>
  <c r="R142" i="38"/>
  <c r="H159" i="38"/>
  <c r="R157" i="38"/>
  <c r="J159" i="38"/>
  <c r="L142" i="38"/>
  <c r="L147" i="38"/>
  <c r="N160" i="37"/>
  <c r="T158" i="37"/>
  <c r="N158" i="37"/>
  <c r="T157" i="37"/>
  <c r="N157" i="37"/>
  <c r="T156" i="37"/>
  <c r="N156" i="37"/>
  <c r="T155" i="37"/>
  <c r="N155" i="37"/>
  <c r="T153" i="37"/>
  <c r="N153" i="37"/>
  <c r="T152" i="37"/>
  <c r="N152" i="37"/>
  <c r="T151" i="37"/>
  <c r="N151" i="37"/>
  <c r="T150" i="37"/>
  <c r="N150" i="37"/>
  <c r="T148" i="37"/>
  <c r="N148" i="37"/>
  <c r="T147" i="37"/>
  <c r="N147" i="37"/>
  <c r="T146" i="37"/>
  <c r="N146" i="37"/>
  <c r="T145" i="37"/>
  <c r="N145" i="37"/>
  <c r="T143" i="37"/>
  <c r="N143" i="37"/>
  <c r="T142" i="37"/>
  <c r="N142" i="37"/>
  <c r="T141" i="37"/>
  <c r="N141" i="37"/>
  <c r="T140" i="37"/>
  <c r="N140" i="37"/>
  <c r="T132" i="37"/>
  <c r="N132" i="37"/>
  <c r="T131" i="37"/>
  <c r="N131" i="37"/>
  <c r="T130" i="37"/>
  <c r="N130" i="37"/>
  <c r="T129" i="37"/>
  <c r="N129" i="37"/>
  <c r="T127" i="37"/>
  <c r="N127" i="37"/>
  <c r="T126" i="37"/>
  <c r="N126" i="37"/>
  <c r="T125" i="37"/>
  <c r="N125" i="37"/>
  <c r="T124" i="37"/>
  <c r="N124" i="37"/>
  <c r="T122" i="37"/>
  <c r="N122" i="37"/>
  <c r="T121" i="37"/>
  <c r="N121" i="37"/>
  <c r="T120" i="37"/>
  <c r="N120" i="37"/>
  <c r="T119" i="37"/>
  <c r="N119" i="37"/>
  <c r="T117" i="37"/>
  <c r="N117" i="37"/>
  <c r="T116" i="37"/>
  <c r="N116" i="37"/>
  <c r="T115" i="37"/>
  <c r="N115" i="37"/>
  <c r="T114" i="37"/>
  <c r="N114" i="37"/>
  <c r="T112" i="37"/>
  <c r="N112" i="37"/>
  <c r="T111" i="37"/>
  <c r="N111" i="37"/>
  <c r="T110" i="37"/>
  <c r="N110" i="37"/>
  <c r="T109" i="37"/>
  <c r="N109" i="37"/>
  <c r="T107" i="37"/>
  <c r="N107" i="37"/>
  <c r="T106" i="37"/>
  <c r="N106" i="37"/>
  <c r="T105" i="37"/>
  <c r="N105" i="37"/>
  <c r="T104" i="37"/>
  <c r="N104" i="37"/>
  <c r="T102" i="37"/>
  <c r="N102" i="37"/>
  <c r="T101" i="37"/>
  <c r="N101" i="37"/>
  <c r="T100" i="37"/>
  <c r="N100" i="37"/>
  <c r="T99" i="37"/>
  <c r="N99" i="37"/>
  <c r="T97" i="37"/>
  <c r="N97" i="37"/>
  <c r="T96" i="37"/>
  <c r="N96" i="37"/>
  <c r="T95" i="37"/>
  <c r="N95" i="37"/>
  <c r="T94" i="37"/>
  <c r="N94" i="37"/>
  <c r="T92" i="37"/>
  <c r="N92" i="37"/>
  <c r="T91" i="37"/>
  <c r="N91" i="37"/>
  <c r="T90" i="37"/>
  <c r="N90" i="37"/>
  <c r="T89" i="37"/>
  <c r="N89" i="37"/>
  <c r="T87" i="37"/>
  <c r="N87" i="37"/>
  <c r="T86" i="37"/>
  <c r="N86" i="37"/>
  <c r="T85" i="37"/>
  <c r="N85" i="37"/>
  <c r="T84" i="37"/>
  <c r="N84" i="37"/>
  <c r="T82" i="37"/>
  <c r="N82" i="37"/>
  <c r="T81" i="37"/>
  <c r="N81" i="37"/>
  <c r="T80" i="37"/>
  <c r="N80" i="37"/>
  <c r="T79" i="37"/>
  <c r="N79" i="37"/>
  <c r="T77" i="37"/>
  <c r="N77" i="37"/>
  <c r="T76" i="37"/>
  <c r="N76" i="37"/>
  <c r="T75" i="37"/>
  <c r="N75" i="37"/>
  <c r="T74" i="37"/>
  <c r="N74" i="37"/>
  <c r="T72" i="37"/>
  <c r="N72" i="37"/>
  <c r="T71" i="37"/>
  <c r="N71" i="37"/>
  <c r="T70" i="37"/>
  <c r="N70" i="37"/>
  <c r="T69" i="37"/>
  <c r="N69" i="37"/>
  <c r="T67" i="37"/>
  <c r="N67" i="37"/>
  <c r="T66" i="37"/>
  <c r="N66" i="37"/>
  <c r="T65" i="37"/>
  <c r="N65" i="37"/>
  <c r="T64" i="37"/>
  <c r="N64" i="37"/>
  <c r="T62" i="37"/>
  <c r="N62" i="37"/>
  <c r="T61" i="37"/>
  <c r="N61" i="37"/>
  <c r="T60" i="37"/>
  <c r="N60" i="37"/>
  <c r="T59" i="37"/>
  <c r="N59" i="37"/>
  <c r="T57" i="37"/>
  <c r="N57" i="37"/>
  <c r="T56" i="37"/>
  <c r="N56" i="37"/>
  <c r="T55" i="37"/>
  <c r="N55" i="37"/>
  <c r="T54" i="37"/>
  <c r="N54" i="37"/>
  <c r="T52" i="37"/>
  <c r="N52" i="37"/>
  <c r="T51" i="37"/>
  <c r="N51" i="37"/>
  <c r="T50" i="37"/>
  <c r="N50" i="37"/>
  <c r="T49" i="37"/>
  <c r="N49" i="37"/>
  <c r="T47" i="37"/>
  <c r="N47" i="37"/>
  <c r="T46" i="37"/>
  <c r="N46" i="37"/>
  <c r="T45" i="37"/>
  <c r="N45" i="37"/>
  <c r="T44" i="37"/>
  <c r="N44" i="37"/>
  <c r="T42" i="37"/>
  <c r="N42" i="37"/>
  <c r="T41" i="37"/>
  <c r="N41" i="37"/>
  <c r="T40" i="37"/>
  <c r="N40" i="37"/>
  <c r="T39" i="37"/>
  <c r="N39" i="37"/>
  <c r="T37" i="37"/>
  <c r="N37" i="37"/>
  <c r="T36" i="37"/>
  <c r="N36" i="37"/>
  <c r="T35" i="37"/>
  <c r="N35" i="37"/>
  <c r="T34" i="37"/>
  <c r="N34" i="37"/>
  <c r="T32" i="37"/>
  <c r="N32" i="37"/>
  <c r="T31" i="37"/>
  <c r="N31" i="37"/>
  <c r="T30" i="37"/>
  <c r="N30" i="37"/>
  <c r="T29" i="37"/>
  <c r="N29" i="37"/>
  <c r="T27" i="37"/>
  <c r="N27" i="37"/>
  <c r="T26" i="37"/>
  <c r="N26" i="37"/>
  <c r="T25" i="37"/>
  <c r="N25" i="37"/>
  <c r="T24" i="37"/>
  <c r="N24" i="37"/>
  <c r="T22" i="37"/>
  <c r="N22" i="37"/>
  <c r="T21" i="37"/>
  <c r="N21" i="37"/>
  <c r="T20" i="37"/>
  <c r="N20" i="37"/>
  <c r="T19" i="37"/>
  <c r="N19" i="37"/>
  <c r="T17" i="37"/>
  <c r="N17" i="37"/>
  <c r="T16" i="37"/>
  <c r="N16" i="37"/>
  <c r="T15" i="37"/>
  <c r="N15" i="37"/>
  <c r="T14" i="37"/>
  <c r="N14" i="37"/>
  <c r="T12" i="37"/>
  <c r="N12" i="37"/>
  <c r="T11" i="37"/>
  <c r="N11" i="37"/>
  <c r="T10" i="37"/>
  <c r="N10" i="37"/>
  <c r="T9" i="37"/>
  <c r="N9" i="37"/>
  <c r="T7" i="37"/>
  <c r="N7" i="37"/>
  <c r="T6" i="37"/>
  <c r="N6" i="37"/>
  <c r="T5" i="37"/>
  <c r="N5" i="37"/>
  <c r="T4" i="37"/>
  <c r="N4" i="37"/>
  <c r="J135" i="37" a="1"/>
  <c r="J134" i="37" a="1"/>
  <c r="H60" i="36"/>
  <c r="J59" i="36"/>
  <c r="P30" i="36"/>
  <c r="J136" i="37" a="1"/>
  <c r="J66" i="37" a="1"/>
  <c r="J61" i="37" a="1"/>
  <c r="H61" i="36"/>
  <c r="P65" i="33"/>
  <c r="P60" i="33"/>
  <c r="N154" i="36"/>
  <c r="T152" i="36"/>
  <c r="N152" i="36"/>
  <c r="T151" i="36"/>
  <c r="N151" i="36"/>
  <c r="T150" i="36"/>
  <c r="N150" i="36"/>
  <c r="T149" i="36"/>
  <c r="N149" i="36"/>
  <c r="T147" i="36"/>
  <c r="N147" i="36"/>
  <c r="T146" i="36"/>
  <c r="N146" i="36"/>
  <c r="T145" i="36"/>
  <c r="N145" i="36"/>
  <c r="T144" i="36"/>
  <c r="N144" i="36"/>
  <c r="T142" i="36"/>
  <c r="N142" i="36"/>
  <c r="T141" i="36"/>
  <c r="N141" i="36"/>
  <c r="T140" i="36"/>
  <c r="N140" i="36"/>
  <c r="T139" i="36"/>
  <c r="N139" i="36"/>
  <c r="T137" i="36"/>
  <c r="N137" i="36"/>
  <c r="T136" i="36"/>
  <c r="N136" i="36"/>
  <c r="T135" i="36"/>
  <c r="N135" i="36"/>
  <c r="T134" i="36"/>
  <c r="N134" i="36"/>
  <c r="T132" i="36"/>
  <c r="N132" i="36"/>
  <c r="T131" i="36"/>
  <c r="N131" i="36"/>
  <c r="T130" i="36"/>
  <c r="N130" i="36"/>
  <c r="T129" i="36"/>
  <c r="N129" i="36"/>
  <c r="T127" i="36"/>
  <c r="N127" i="36"/>
  <c r="T126" i="36"/>
  <c r="N126" i="36"/>
  <c r="T125" i="36"/>
  <c r="N125" i="36"/>
  <c r="T124" i="36"/>
  <c r="N124" i="36"/>
  <c r="T122" i="36"/>
  <c r="N122" i="36"/>
  <c r="T121" i="36"/>
  <c r="N121" i="36"/>
  <c r="T120" i="36"/>
  <c r="N120" i="36"/>
  <c r="T119" i="36"/>
  <c r="N119" i="36"/>
  <c r="T117" i="36"/>
  <c r="N117" i="36"/>
  <c r="T116" i="36"/>
  <c r="N116" i="36"/>
  <c r="T115" i="36"/>
  <c r="N115" i="36"/>
  <c r="T114" i="36"/>
  <c r="N114" i="36"/>
  <c r="T112" i="36"/>
  <c r="N112" i="36"/>
  <c r="T111" i="36"/>
  <c r="N111" i="36"/>
  <c r="T110" i="36"/>
  <c r="N110" i="36"/>
  <c r="T109" i="36"/>
  <c r="N109" i="36"/>
  <c r="T107" i="36"/>
  <c r="N107" i="36"/>
  <c r="T106" i="36"/>
  <c r="N106" i="36"/>
  <c r="T105" i="36"/>
  <c r="N105" i="36"/>
  <c r="T104" i="36"/>
  <c r="N104" i="36"/>
  <c r="T102" i="36"/>
  <c r="N102" i="36"/>
  <c r="T101" i="36"/>
  <c r="N101" i="36"/>
  <c r="T100" i="36"/>
  <c r="N100" i="36"/>
  <c r="T99" i="36"/>
  <c r="N99" i="36"/>
  <c r="T97" i="36"/>
  <c r="N97" i="36"/>
  <c r="T96" i="36"/>
  <c r="N96" i="36"/>
  <c r="T95" i="36"/>
  <c r="N95" i="36"/>
  <c r="T94" i="36"/>
  <c r="N94" i="36"/>
  <c r="T92" i="36"/>
  <c r="N92" i="36"/>
  <c r="T91" i="36"/>
  <c r="N91" i="36"/>
  <c r="T90" i="36"/>
  <c r="N90" i="36"/>
  <c r="T89" i="36"/>
  <c r="N89" i="36"/>
  <c r="T87" i="36"/>
  <c r="N87" i="36"/>
  <c r="T86" i="36"/>
  <c r="N86" i="36"/>
  <c r="T85" i="36"/>
  <c r="N85" i="36"/>
  <c r="T84" i="36"/>
  <c r="N84" i="36"/>
  <c r="T82" i="36"/>
  <c r="N82" i="36"/>
  <c r="T81" i="36"/>
  <c r="N81" i="36"/>
  <c r="T80" i="36"/>
  <c r="N80" i="36"/>
  <c r="T79" i="36"/>
  <c r="N79" i="36"/>
  <c r="T77" i="36"/>
  <c r="N77" i="36"/>
  <c r="T76" i="36"/>
  <c r="N76" i="36"/>
  <c r="T75" i="36"/>
  <c r="N75" i="36"/>
  <c r="T74" i="36"/>
  <c r="N74" i="36"/>
  <c r="T72" i="36"/>
  <c r="N72" i="36"/>
  <c r="T71" i="36"/>
  <c r="N71" i="36"/>
  <c r="T70" i="36"/>
  <c r="N70" i="36"/>
  <c r="T69" i="36"/>
  <c r="N69" i="36"/>
  <c r="T67" i="36"/>
  <c r="N67" i="36"/>
  <c r="T66" i="36"/>
  <c r="N66" i="36"/>
  <c r="T65" i="36"/>
  <c r="N65" i="36"/>
  <c r="T64" i="36"/>
  <c r="N64" i="36"/>
  <c r="T62" i="36"/>
  <c r="N62" i="36"/>
  <c r="T61" i="36"/>
  <c r="N61" i="36"/>
  <c r="T60" i="36"/>
  <c r="N60" i="36"/>
  <c r="T59" i="36"/>
  <c r="N59" i="36"/>
  <c r="T57" i="36"/>
  <c r="N57" i="36"/>
  <c r="T56" i="36"/>
  <c r="N56" i="36"/>
  <c r="T55" i="36"/>
  <c r="N55" i="36"/>
  <c r="T54" i="36"/>
  <c r="N54" i="36"/>
  <c r="T52" i="36"/>
  <c r="N52" i="36"/>
  <c r="T51" i="36"/>
  <c r="N51" i="36"/>
  <c r="T50" i="36"/>
  <c r="N50" i="36"/>
  <c r="T49" i="36"/>
  <c r="N49" i="36"/>
  <c r="T47" i="36"/>
  <c r="N47" i="36"/>
  <c r="T46" i="36"/>
  <c r="N46" i="36"/>
  <c r="T45" i="36"/>
  <c r="N45" i="36"/>
  <c r="T44" i="36"/>
  <c r="N44" i="36"/>
  <c r="T42" i="36"/>
  <c r="N42" i="36"/>
  <c r="T41" i="36"/>
  <c r="N41" i="36"/>
  <c r="T40" i="36"/>
  <c r="N40" i="36"/>
  <c r="T39" i="36"/>
  <c r="N39" i="36"/>
  <c r="T37" i="36"/>
  <c r="N37" i="36"/>
  <c r="T36" i="36"/>
  <c r="N36" i="36"/>
  <c r="T35" i="36"/>
  <c r="N35" i="36"/>
  <c r="T34" i="36"/>
  <c r="N34" i="36"/>
  <c r="T32" i="36"/>
  <c r="N32" i="36"/>
  <c r="T31" i="36"/>
  <c r="N31" i="36"/>
  <c r="T30" i="36"/>
  <c r="N30" i="36"/>
  <c r="T29" i="36"/>
  <c r="N29" i="36"/>
  <c r="T27" i="36"/>
  <c r="N27" i="36"/>
  <c r="T26" i="36"/>
  <c r="N26" i="36"/>
  <c r="T25" i="36"/>
  <c r="N25" i="36"/>
  <c r="T24" i="36"/>
  <c r="N24" i="36"/>
  <c r="T22" i="36"/>
  <c r="N22" i="36"/>
  <c r="T21" i="36"/>
  <c r="N21" i="36"/>
  <c r="T20" i="36"/>
  <c r="N20" i="36"/>
  <c r="T19" i="36"/>
  <c r="N19" i="36"/>
  <c r="T17" i="36"/>
  <c r="N17" i="36"/>
  <c r="T16" i="36"/>
  <c r="N16" i="36"/>
  <c r="T15" i="36"/>
  <c r="N15" i="36"/>
  <c r="T14" i="36"/>
  <c r="N14" i="36"/>
  <c r="T12" i="36"/>
  <c r="N12" i="36"/>
  <c r="T11" i="36"/>
  <c r="N11" i="36"/>
  <c r="T10" i="36"/>
  <c r="N10" i="36"/>
  <c r="T9" i="36"/>
  <c r="N9" i="36"/>
  <c r="T7" i="36"/>
  <c r="N7" i="36"/>
  <c r="T6" i="36"/>
  <c r="N6" i="36"/>
  <c r="T5" i="36"/>
  <c r="N5" i="36"/>
  <c r="T4" i="36"/>
  <c r="N4" i="36"/>
  <c r="J11" i="37" l="1" a="1"/>
  <c r="J91" i="37" a="1"/>
  <c r="J91" i="37" s="1"/>
  <c r="J16" i="37" a="1"/>
  <c r="J16" i="37" s="1"/>
  <c r="J96" i="37" a="1"/>
  <c r="J96" i="37" s="1"/>
  <c r="J71" i="37" a="1"/>
  <c r="J71" i="37" s="1"/>
  <c r="J41" i="37" a="1"/>
  <c r="J41" i="37" s="1"/>
  <c r="J31" i="37" a="1"/>
  <c r="J31" i="37" s="1"/>
  <c r="J56" i="37" a="1"/>
  <c r="J56" i="37" s="1"/>
  <c r="J21" i="37" a="1"/>
  <c r="J21" i="37" s="1"/>
  <c r="L159" i="39"/>
  <c r="T159" i="39"/>
  <c r="R159" i="39"/>
  <c r="J116" i="37" a="1"/>
  <c r="J116" i="37" s="1"/>
  <c r="J86" i="37" a="1"/>
  <c r="J86" i="37" s="1"/>
  <c r="J26" i="37" a="1"/>
  <c r="J26" i="37" s="1"/>
  <c r="J101" i="37" a="1"/>
  <c r="J101" i="37" s="1"/>
  <c r="J111" i="37" a="1"/>
  <c r="J111" i="37" s="1"/>
  <c r="J36" i="37" a="1"/>
  <c r="J36" i="37" s="1"/>
  <c r="J121" i="37" a="1"/>
  <c r="J121" i="37" s="1"/>
  <c r="J51" i="37" a="1"/>
  <c r="J51" i="37" s="1"/>
  <c r="J76" i="37" a="1"/>
  <c r="J76" i="37" s="1"/>
  <c r="J6" i="37" a="1"/>
  <c r="J6" i="37" s="1"/>
  <c r="J81" i="37" a="1"/>
  <c r="J81" i="37" s="1"/>
  <c r="J131" i="37" a="1"/>
  <c r="J131" i="37" s="1"/>
  <c r="J106" i="37" a="1"/>
  <c r="J106" i="37" s="1"/>
  <c r="J126" i="37" a="1"/>
  <c r="J126" i="37" s="1"/>
  <c r="J46" i="37" a="1"/>
  <c r="J46" i="37" s="1"/>
  <c r="H136" i="37"/>
  <c r="P136" i="37"/>
  <c r="J136" i="37"/>
  <c r="P134" i="37"/>
  <c r="J134" i="37"/>
  <c r="P135" i="37"/>
  <c r="J135" i="37"/>
  <c r="H134" i="37"/>
  <c r="H135" i="37"/>
  <c r="H121" i="37"/>
  <c r="P121" i="37"/>
  <c r="H76" i="37"/>
  <c r="P76" i="37"/>
  <c r="H81" i="37"/>
  <c r="P81" i="37"/>
  <c r="P131" i="37"/>
  <c r="H131" i="37"/>
  <c r="P66" i="37"/>
  <c r="H66" i="37"/>
  <c r="J66" i="37"/>
  <c r="P91" i="37"/>
  <c r="H91" i="37"/>
  <c r="H96" i="37"/>
  <c r="P96" i="37"/>
  <c r="P71" i="37"/>
  <c r="H71" i="37"/>
  <c r="P106" i="37"/>
  <c r="H106" i="37"/>
  <c r="P126" i="37"/>
  <c r="H126" i="37"/>
  <c r="H116" i="37"/>
  <c r="P116" i="37"/>
  <c r="P86" i="37"/>
  <c r="H86" i="37"/>
  <c r="H101" i="37"/>
  <c r="P101" i="37"/>
  <c r="P111" i="37"/>
  <c r="H111" i="37"/>
  <c r="L159" i="38"/>
  <c r="R159" i="38"/>
  <c r="T159" i="38"/>
  <c r="H119" i="37"/>
  <c r="J119" i="37" a="1"/>
  <c r="J119" i="37" s="1"/>
  <c r="P119" i="37"/>
  <c r="J90" i="37" a="1"/>
  <c r="J90" i="37" s="1"/>
  <c r="H90" i="37"/>
  <c r="P90" i="37"/>
  <c r="P44" i="37"/>
  <c r="H44" i="37"/>
  <c r="J44" i="37" a="1"/>
  <c r="J44" i="37" s="1"/>
  <c r="P9" i="37"/>
  <c r="J9" i="37" a="1"/>
  <c r="J9" i="37" s="1"/>
  <c r="H9" i="37"/>
  <c r="J74" i="37" a="1"/>
  <c r="J74" i="37" s="1"/>
  <c r="H74" i="37"/>
  <c r="P74" i="37"/>
  <c r="H79" i="37"/>
  <c r="P79" i="37"/>
  <c r="J79" i="37" a="1"/>
  <c r="J79" i="37" s="1"/>
  <c r="P25" i="37"/>
  <c r="J25" i="37" a="1"/>
  <c r="J25" i="37" s="1"/>
  <c r="H25" i="37"/>
  <c r="P55" i="37"/>
  <c r="J55" i="37" a="1"/>
  <c r="J55" i="37" s="1"/>
  <c r="H55" i="37"/>
  <c r="P110" i="37"/>
  <c r="H110" i="37"/>
  <c r="J110" i="37" a="1"/>
  <c r="J110" i="37" s="1"/>
  <c r="J40" i="37" a="1"/>
  <c r="J40" i="37" s="1"/>
  <c r="H40" i="37"/>
  <c r="P40" i="37"/>
  <c r="P124" i="37"/>
  <c r="J124" i="37" a="1"/>
  <c r="J124" i="37" s="1"/>
  <c r="H124" i="37"/>
  <c r="H65" i="37"/>
  <c r="P65" i="37"/>
  <c r="J65" i="37" a="1"/>
  <c r="J65" i="37" s="1"/>
  <c r="H39" i="37"/>
  <c r="P39" i="37"/>
  <c r="J39" i="37" a="1"/>
  <c r="J39" i="37" s="1"/>
  <c r="P34" i="37"/>
  <c r="J34" i="37" a="1"/>
  <c r="J34" i="37" s="1"/>
  <c r="H34" i="37"/>
  <c r="H19" i="37"/>
  <c r="P19" i="37"/>
  <c r="J19" i="37" a="1"/>
  <c r="J19" i="37" s="1"/>
  <c r="J120" i="37" a="1"/>
  <c r="J120" i="37" s="1"/>
  <c r="H120" i="37"/>
  <c r="P120" i="37"/>
  <c r="P45" i="37"/>
  <c r="J45" i="37" a="1"/>
  <c r="J45" i="37" s="1"/>
  <c r="H45" i="37"/>
  <c r="P10" i="37"/>
  <c r="J10" i="37" a="1"/>
  <c r="J10" i="37" s="1"/>
  <c r="H10" i="37"/>
  <c r="P75" i="37"/>
  <c r="H75" i="37"/>
  <c r="J75" i="37" a="1"/>
  <c r="J75" i="37" s="1"/>
  <c r="J80" i="37" a="1"/>
  <c r="J80" i="37" s="1"/>
  <c r="H80" i="37"/>
  <c r="P80" i="37"/>
  <c r="P129" i="37"/>
  <c r="J129" i="37" a="1"/>
  <c r="J129" i="37" s="1"/>
  <c r="H129" i="37"/>
  <c r="J4" i="37" a="1"/>
  <c r="J4" i="37" s="1"/>
  <c r="H4" i="37"/>
  <c r="P4" i="37"/>
  <c r="P69" i="37"/>
  <c r="H69" i="37"/>
  <c r="J69" i="37" a="1"/>
  <c r="J69" i="37" s="1"/>
  <c r="P104" i="37"/>
  <c r="H104" i="37"/>
  <c r="J104" i="37" a="1"/>
  <c r="J104" i="37" s="1"/>
  <c r="H35" i="37"/>
  <c r="P35" i="37"/>
  <c r="J35" i="37" a="1"/>
  <c r="J35" i="37" s="1"/>
  <c r="P29" i="37"/>
  <c r="J29" i="37" a="1"/>
  <c r="J29" i="37" s="1"/>
  <c r="H29" i="37"/>
  <c r="H125" i="37"/>
  <c r="J125" i="37" a="1"/>
  <c r="J125" i="37" s="1"/>
  <c r="P125" i="37"/>
  <c r="P89" i="37"/>
  <c r="J89" i="37" a="1"/>
  <c r="J89" i="37" s="1"/>
  <c r="H89" i="37"/>
  <c r="H14" i="37"/>
  <c r="P14" i="37"/>
  <c r="J14" i="37" a="1"/>
  <c r="J14" i="37" s="1"/>
  <c r="H84" i="37"/>
  <c r="P84" i="37"/>
  <c r="J84" i="37" a="1"/>
  <c r="J84" i="37" s="1"/>
  <c r="P49" i="37"/>
  <c r="J49" i="37" a="1"/>
  <c r="J49" i="37" s="1"/>
  <c r="H49" i="37"/>
  <c r="J94" i="37" a="1"/>
  <c r="J94" i="37" s="1"/>
  <c r="P94" i="37"/>
  <c r="H94" i="37"/>
  <c r="J114" i="37" a="1"/>
  <c r="J114" i="37" s="1"/>
  <c r="H114" i="37"/>
  <c r="P114" i="37"/>
  <c r="P130" i="37"/>
  <c r="H130" i="37"/>
  <c r="J130" i="37" a="1"/>
  <c r="J130" i="37" s="1"/>
  <c r="P5" i="37"/>
  <c r="J5" i="37" a="1"/>
  <c r="J5" i="37" s="1"/>
  <c r="H5" i="37"/>
  <c r="P70" i="37"/>
  <c r="J70" i="37" a="1"/>
  <c r="J70" i="37" s="1"/>
  <c r="H70" i="37"/>
  <c r="H99" i="37"/>
  <c r="P99" i="37"/>
  <c r="J99" i="37" a="1"/>
  <c r="J99" i="37" s="1"/>
  <c r="H105" i="37"/>
  <c r="P105" i="37"/>
  <c r="J105" i="37" a="1"/>
  <c r="J105" i="37" s="1"/>
  <c r="J24" i="37" a="1"/>
  <c r="J24" i="37" s="1"/>
  <c r="H24" i="37"/>
  <c r="P24" i="37"/>
  <c r="H59" i="37"/>
  <c r="P59" i="37"/>
  <c r="J59" i="37" a="1"/>
  <c r="J59" i="37" s="1"/>
  <c r="P115" i="37"/>
  <c r="J115" i="37" a="1"/>
  <c r="J115" i="37" s="1"/>
  <c r="H115" i="37"/>
  <c r="J15" i="37" a="1"/>
  <c r="J15" i="37" s="1"/>
  <c r="H15" i="37"/>
  <c r="P15" i="37"/>
  <c r="H85" i="37"/>
  <c r="J85" i="37" a="1"/>
  <c r="J85" i="37" s="1"/>
  <c r="P85" i="37"/>
  <c r="H50" i="37"/>
  <c r="P50" i="37"/>
  <c r="J50" i="37" a="1"/>
  <c r="J50" i="37" s="1"/>
  <c r="P95" i="37"/>
  <c r="H95" i="37"/>
  <c r="J95" i="37" a="1"/>
  <c r="J95" i="37" s="1"/>
  <c r="P30" i="37"/>
  <c r="J30" i="37" a="1"/>
  <c r="J30" i="37" s="1"/>
  <c r="H30" i="37"/>
  <c r="J54" i="37" a="1"/>
  <c r="J54" i="37" s="1"/>
  <c r="H54" i="37"/>
  <c r="P54" i="37"/>
  <c r="J100" i="37" a="1"/>
  <c r="J100" i="37" s="1"/>
  <c r="P100" i="37"/>
  <c r="H100" i="37"/>
  <c r="P109" i="37"/>
  <c r="J109" i="37" a="1"/>
  <c r="J109" i="37" s="1"/>
  <c r="H109" i="37"/>
  <c r="P64" i="37"/>
  <c r="J64" i="37" a="1"/>
  <c r="J64" i="37" s="1"/>
  <c r="H64" i="37"/>
  <c r="J20" i="37" a="1"/>
  <c r="J20" i="37" s="1"/>
  <c r="H20" i="37"/>
  <c r="P20" i="37"/>
  <c r="J60" i="37" a="1"/>
  <c r="J60" i="37" s="1"/>
  <c r="H60" i="37"/>
  <c r="P60" i="37"/>
  <c r="P16" i="37"/>
  <c r="H16" i="37"/>
  <c r="H41" i="37"/>
  <c r="P41" i="37"/>
  <c r="H61" i="37"/>
  <c r="P61" i="37"/>
  <c r="J61" i="37"/>
  <c r="H46" i="37"/>
  <c r="P46" i="37"/>
  <c r="P31" i="37"/>
  <c r="H31" i="37"/>
  <c r="P56" i="37"/>
  <c r="H56" i="37"/>
  <c r="P11" i="37"/>
  <c r="H11" i="37"/>
  <c r="J11" i="37"/>
  <c r="H21" i="37"/>
  <c r="P21" i="37"/>
  <c r="P26" i="37"/>
  <c r="H26" i="37"/>
  <c r="H36" i="37"/>
  <c r="P36" i="37"/>
  <c r="H51" i="37"/>
  <c r="P51" i="37"/>
  <c r="P6" i="37"/>
  <c r="H6" i="37"/>
  <c r="J16" i="36" a="1"/>
  <c r="J16" i="36" s="1"/>
  <c r="J96" i="36" a="1"/>
  <c r="J96" i="36" s="1"/>
  <c r="J71" i="36" a="1"/>
  <c r="J71" i="36" s="1"/>
  <c r="J31" i="36" a="1"/>
  <c r="J31" i="36" s="1"/>
  <c r="J41" i="36" a="1"/>
  <c r="J41" i="36" s="1"/>
  <c r="J126" i="36" a="1"/>
  <c r="J126" i="36" s="1"/>
  <c r="J46" i="36" a="1"/>
  <c r="J46" i="36" s="1"/>
  <c r="J11" i="36" a="1"/>
  <c r="J11" i="36" s="1"/>
  <c r="J21" i="36" a="1"/>
  <c r="J21" i="36" s="1"/>
  <c r="J116" i="36" a="1"/>
  <c r="J116" i="36" s="1"/>
  <c r="J86" i="36" a="1"/>
  <c r="J86" i="36" s="1"/>
  <c r="J26" i="36" a="1"/>
  <c r="J26" i="36" s="1"/>
  <c r="J101" i="36" a="1"/>
  <c r="J101" i="36" s="1"/>
  <c r="J111" i="36" a="1"/>
  <c r="J111" i="36" s="1"/>
  <c r="J36" i="36" a="1"/>
  <c r="J36" i="36" s="1"/>
  <c r="J51" i="36" a="1"/>
  <c r="J51" i="36" s="1"/>
  <c r="J6" i="36" a="1"/>
  <c r="J6" i="36" s="1"/>
  <c r="J81" i="36" a="1"/>
  <c r="J81" i="36" s="1"/>
  <c r="J131" i="36" a="1"/>
  <c r="J131" i="36" s="1"/>
  <c r="J121" i="36" a="1"/>
  <c r="J121" i="36" s="1"/>
  <c r="J76" i="36" a="1"/>
  <c r="J76" i="36" s="1"/>
  <c r="J91" i="36" a="1"/>
  <c r="J91" i="36" s="1"/>
  <c r="J106" i="36" a="1"/>
  <c r="J106" i="36" s="1"/>
  <c r="J56" i="36" a="1"/>
  <c r="J56" i="36" s="1"/>
  <c r="J61" i="36" a="1"/>
  <c r="J61" i="36" s="1"/>
  <c r="J66" i="36" a="1"/>
  <c r="J66" i="36" s="1"/>
  <c r="H51" i="36"/>
  <c r="H31" i="36"/>
  <c r="P99" i="33"/>
  <c r="H45" i="36"/>
  <c r="H80" i="36"/>
  <c r="J104" i="36"/>
  <c r="P34" i="36"/>
  <c r="P64" i="36"/>
  <c r="J65" i="36"/>
  <c r="H125" i="36"/>
  <c r="H4" i="36"/>
  <c r="P119" i="33"/>
  <c r="P19" i="33"/>
  <c r="P9" i="36"/>
  <c r="H39" i="36"/>
  <c r="H9" i="36"/>
  <c r="H64" i="36"/>
  <c r="P50" i="36"/>
  <c r="H54" i="36"/>
  <c r="P45" i="33"/>
  <c r="P79" i="33"/>
  <c r="H91" i="36"/>
  <c r="H46" i="36"/>
  <c r="P56" i="36"/>
  <c r="H41" i="36"/>
  <c r="P106" i="36"/>
  <c r="H36" i="36"/>
  <c r="P59" i="36"/>
  <c r="R59" i="36" s="1"/>
  <c r="P120" i="36"/>
  <c r="P129" i="36"/>
  <c r="J114" i="36"/>
  <c r="H104" i="36"/>
  <c r="P5" i="33"/>
  <c r="P11" i="36"/>
  <c r="H21" i="36"/>
  <c r="J10" i="36"/>
  <c r="P74" i="36"/>
  <c r="J25" i="36"/>
  <c r="J99" i="36"/>
  <c r="H110" i="36"/>
  <c r="J24" i="36"/>
  <c r="P90" i="36"/>
  <c r="P96" i="36"/>
  <c r="H59" i="36"/>
  <c r="L59" i="36" s="1"/>
  <c r="J64" i="36"/>
  <c r="P75" i="36"/>
  <c r="H49" i="36"/>
  <c r="P10" i="33"/>
  <c r="P30" i="33"/>
  <c r="H121" i="36"/>
  <c r="H16" i="36"/>
  <c r="H6" i="36"/>
  <c r="H71" i="36"/>
  <c r="J9" i="36"/>
  <c r="J129" i="36"/>
  <c r="P69" i="36"/>
  <c r="P35" i="36"/>
  <c r="H116" i="36"/>
  <c r="P101" i="36"/>
  <c r="H111" i="36"/>
  <c r="H11" i="36"/>
  <c r="P21" i="36"/>
  <c r="P26" i="36"/>
  <c r="P31" i="36"/>
  <c r="P61" i="36"/>
  <c r="P65" i="36"/>
  <c r="P66" i="36"/>
  <c r="J80" i="36"/>
  <c r="H86" i="36"/>
  <c r="H96" i="36"/>
  <c r="H101" i="36"/>
  <c r="H106" i="36"/>
  <c r="H115" i="36"/>
  <c r="P89" i="36"/>
  <c r="J15" i="36"/>
  <c r="H15" i="36"/>
  <c r="J85" i="36"/>
  <c r="J50" i="36"/>
  <c r="P95" i="36"/>
  <c r="J95" i="36"/>
  <c r="H44" i="36"/>
  <c r="H84" i="36"/>
  <c r="J94" i="36"/>
  <c r="H74" i="36"/>
  <c r="H114" i="36"/>
  <c r="J54" i="36"/>
  <c r="H69" i="36"/>
  <c r="H100" i="36"/>
  <c r="H109" i="36"/>
  <c r="J70" i="36"/>
  <c r="P80" i="36"/>
  <c r="P55" i="36"/>
  <c r="H90" i="36"/>
  <c r="J125" i="36"/>
  <c r="H75" i="36"/>
  <c r="J79" i="36"/>
  <c r="P20" i="36"/>
  <c r="J130" i="36"/>
  <c r="J105" i="36"/>
  <c r="P40" i="36"/>
  <c r="H25" i="36"/>
  <c r="J35" i="36"/>
  <c r="J19" i="36"/>
  <c r="J34" i="36"/>
  <c r="P24" i="36"/>
  <c r="H124" i="36"/>
  <c r="J45" i="36"/>
  <c r="P14" i="36"/>
  <c r="J119" i="36"/>
  <c r="P29" i="36"/>
  <c r="P104" i="36"/>
  <c r="P49" i="36"/>
  <c r="J110" i="36"/>
  <c r="H99" i="36"/>
  <c r="J39" i="36"/>
  <c r="P4" i="36"/>
  <c r="P10" i="36"/>
  <c r="H5" i="36"/>
  <c r="P121" i="36"/>
  <c r="H76" i="36"/>
  <c r="P81" i="36"/>
  <c r="H131" i="36"/>
  <c r="P6" i="36"/>
  <c r="P16" i="36"/>
  <c r="P25" i="36"/>
  <c r="H30" i="36"/>
  <c r="P36" i="36"/>
  <c r="P41" i="36"/>
  <c r="J49" i="36"/>
  <c r="P51" i="36"/>
  <c r="H66" i="36"/>
  <c r="H70" i="36"/>
  <c r="H81" i="36"/>
  <c r="P126" i="36"/>
  <c r="P131" i="36"/>
  <c r="H119" i="36"/>
  <c r="J90" i="36"/>
  <c r="P44" i="36"/>
  <c r="P84" i="36"/>
  <c r="J74" i="36"/>
  <c r="H79" i="36"/>
  <c r="H55" i="36"/>
  <c r="H40" i="36"/>
  <c r="J40" i="36"/>
  <c r="P124" i="36"/>
  <c r="P19" i="36"/>
  <c r="H26" i="36"/>
  <c r="P86" i="36"/>
  <c r="P91" i="36"/>
  <c r="P111" i="36"/>
  <c r="P116" i="36"/>
  <c r="P85" i="33"/>
  <c r="P95" i="33"/>
  <c r="P115" i="33"/>
  <c r="P130" i="33"/>
  <c r="P15" i="33"/>
  <c r="P14" i="33"/>
  <c r="P109" i="33"/>
  <c r="P9" i="33"/>
  <c r="P46" i="36"/>
  <c r="H56" i="36"/>
  <c r="J55" i="36"/>
  <c r="H65" i="36"/>
  <c r="P71" i="36"/>
  <c r="P76" i="36"/>
  <c r="H85" i="36"/>
  <c r="J89" i="36"/>
  <c r="H94" i="36"/>
  <c r="P99" i="36"/>
  <c r="P105" i="36"/>
  <c r="P114" i="36"/>
  <c r="J120" i="36"/>
  <c r="H126" i="36"/>
  <c r="P130" i="36"/>
  <c r="J29" i="36"/>
  <c r="H34" i="36"/>
  <c r="P39" i="36"/>
  <c r="J60" i="36"/>
  <c r="L60" i="36" s="1"/>
  <c r="J69" i="36"/>
  <c r="P70" i="36"/>
  <c r="J84" i="36"/>
  <c r="P85" i="36"/>
  <c r="P94" i="36"/>
  <c r="J100" i="36"/>
  <c r="H105" i="36"/>
  <c r="J109" i="36"/>
  <c r="P110" i="36"/>
  <c r="J115" i="36"/>
  <c r="P119" i="36"/>
  <c r="J124" i="36"/>
  <c r="P125" i="36"/>
  <c r="H130" i="36"/>
  <c r="H14" i="36"/>
  <c r="H20" i="36"/>
  <c r="H29" i="36"/>
  <c r="J30" i="36"/>
  <c r="R30" i="36" s="1"/>
  <c r="H35" i="36"/>
  <c r="J14" i="36"/>
  <c r="P15" i="36"/>
  <c r="H19" i="36"/>
  <c r="J20" i="36"/>
  <c r="J44" i="36"/>
  <c r="P45" i="36"/>
  <c r="H50" i="36"/>
  <c r="P54" i="36"/>
  <c r="J75" i="36"/>
  <c r="P79" i="36"/>
  <c r="H24" i="36"/>
  <c r="P60" i="36"/>
  <c r="H89" i="36"/>
  <c r="H95" i="36"/>
  <c r="P100" i="36"/>
  <c r="P109" i="36"/>
  <c r="P115" i="36"/>
  <c r="H120" i="36"/>
  <c r="H129" i="36"/>
  <c r="P90" i="33"/>
  <c r="P94" i="33"/>
  <c r="P114" i="33"/>
  <c r="P24" i="33"/>
  <c r="P70" i="33"/>
  <c r="P50" i="33"/>
  <c r="P120" i="33"/>
  <c r="P4" i="33"/>
  <c r="P54" i="33"/>
  <c r="P100" i="33"/>
  <c r="P80" i="33"/>
  <c r="P84" i="33"/>
  <c r="P110" i="33"/>
  <c r="P35" i="33"/>
  <c r="P49" i="33"/>
  <c r="P105" i="33"/>
  <c r="P125" i="33"/>
  <c r="J4" i="36"/>
  <c r="H10" i="36"/>
  <c r="P25" i="33"/>
  <c r="P39" i="33"/>
  <c r="P55" i="33"/>
  <c r="P69" i="33"/>
  <c r="P89" i="33"/>
  <c r="P129" i="33"/>
  <c r="J5" i="36"/>
  <c r="P124" i="33"/>
  <c r="P20" i="33"/>
  <c r="P29" i="33"/>
  <c r="P40" i="33"/>
  <c r="P59" i="33"/>
  <c r="P75" i="33"/>
  <c r="P5" i="36"/>
  <c r="P34" i="33"/>
  <c r="P44" i="33"/>
  <c r="P64" i="33"/>
  <c r="P74" i="33"/>
  <c r="P104" i="33"/>
  <c r="L131" i="37" l="1"/>
  <c r="P152" i="37"/>
  <c r="L136" i="37"/>
  <c r="L110" i="36"/>
  <c r="P150" i="37"/>
  <c r="P151" i="37"/>
  <c r="P147" i="37"/>
  <c r="L135" i="37"/>
  <c r="P146" i="37"/>
  <c r="P145" i="37"/>
  <c r="J150" i="37"/>
  <c r="J147" i="37"/>
  <c r="J151" i="37"/>
  <c r="J152" i="37"/>
  <c r="R136" i="37"/>
  <c r="R135" i="37"/>
  <c r="J137" i="37"/>
  <c r="L134" i="37"/>
  <c r="P137" i="37"/>
  <c r="R134" i="37"/>
  <c r="H137" i="37"/>
  <c r="L60" i="37"/>
  <c r="J146" i="37"/>
  <c r="J145" i="37"/>
  <c r="L11" i="37"/>
  <c r="R31" i="37"/>
  <c r="R111" i="37"/>
  <c r="L46" i="37"/>
  <c r="L10" i="37"/>
  <c r="R126" i="37"/>
  <c r="R9" i="37"/>
  <c r="R94" i="37"/>
  <c r="L9" i="36"/>
  <c r="R81" i="37"/>
  <c r="R15" i="37"/>
  <c r="R121" i="37"/>
  <c r="L96" i="37"/>
  <c r="P127" i="37"/>
  <c r="L66" i="37"/>
  <c r="L130" i="37"/>
  <c r="R41" i="37"/>
  <c r="L121" i="37"/>
  <c r="R36" i="37"/>
  <c r="L71" i="37"/>
  <c r="L6" i="37"/>
  <c r="R6" i="37"/>
  <c r="L61" i="37"/>
  <c r="H147" i="37"/>
  <c r="R26" i="37"/>
  <c r="L39" i="36"/>
  <c r="P82" i="37"/>
  <c r="R91" i="37"/>
  <c r="L51" i="37"/>
  <c r="R106" i="37"/>
  <c r="L31" i="37"/>
  <c r="L106" i="37"/>
  <c r="R66" i="37"/>
  <c r="L81" i="37"/>
  <c r="L86" i="37"/>
  <c r="R56" i="37"/>
  <c r="H52" i="37"/>
  <c r="R71" i="37"/>
  <c r="L126" i="37"/>
  <c r="L36" i="37"/>
  <c r="L101" i="37"/>
  <c r="R131" i="37"/>
  <c r="H142" i="37"/>
  <c r="R46" i="37"/>
  <c r="R39" i="36"/>
  <c r="P67" i="37"/>
  <c r="R86" i="37"/>
  <c r="L56" i="37"/>
  <c r="R64" i="36"/>
  <c r="H92" i="37"/>
  <c r="L90" i="37"/>
  <c r="R15" i="36"/>
  <c r="P37" i="37"/>
  <c r="L94" i="36"/>
  <c r="R20" i="37"/>
  <c r="H127" i="37"/>
  <c r="L69" i="37"/>
  <c r="J67" i="37"/>
  <c r="R44" i="37"/>
  <c r="L109" i="37"/>
  <c r="R35" i="36"/>
  <c r="R55" i="37"/>
  <c r="L105" i="37"/>
  <c r="L5" i="37"/>
  <c r="H132" i="37"/>
  <c r="P17" i="37"/>
  <c r="R75" i="36"/>
  <c r="L64" i="36"/>
  <c r="L5" i="36"/>
  <c r="R130" i="36"/>
  <c r="R19" i="36"/>
  <c r="R14" i="36"/>
  <c r="R54" i="36"/>
  <c r="L125" i="37"/>
  <c r="J27" i="37"/>
  <c r="R84" i="37"/>
  <c r="R95" i="37"/>
  <c r="L59" i="37"/>
  <c r="R29" i="37"/>
  <c r="L129" i="37"/>
  <c r="L9" i="37"/>
  <c r="L54" i="37"/>
  <c r="R115" i="37"/>
  <c r="L70" i="36"/>
  <c r="L45" i="36"/>
  <c r="L80" i="36"/>
  <c r="R44" i="36"/>
  <c r="L130" i="36"/>
  <c r="R110" i="36"/>
  <c r="H7" i="37"/>
  <c r="L39" i="37"/>
  <c r="P92" i="37"/>
  <c r="R14" i="37"/>
  <c r="L15" i="37"/>
  <c r="R120" i="36"/>
  <c r="R40" i="36"/>
  <c r="R34" i="36"/>
  <c r="L125" i="36"/>
  <c r="R114" i="36"/>
  <c r="L65" i="36"/>
  <c r="L104" i="36"/>
  <c r="J127" i="37"/>
  <c r="J87" i="37"/>
  <c r="L55" i="36"/>
  <c r="R95" i="36"/>
  <c r="R65" i="36"/>
  <c r="J92" i="37"/>
  <c r="H32" i="37"/>
  <c r="L54" i="36"/>
  <c r="L49" i="36"/>
  <c r="L4" i="36"/>
  <c r="L29" i="36"/>
  <c r="R59" i="37"/>
  <c r="R45" i="36"/>
  <c r="R19" i="37"/>
  <c r="H150" i="37"/>
  <c r="L99" i="36"/>
  <c r="L119" i="36"/>
  <c r="R79" i="36"/>
  <c r="R85" i="36"/>
  <c r="P155" i="37"/>
  <c r="L84" i="37"/>
  <c r="R129" i="37"/>
  <c r="J32" i="37"/>
  <c r="R99" i="36"/>
  <c r="R104" i="36"/>
  <c r="J107" i="37"/>
  <c r="J77" i="37"/>
  <c r="L69" i="36"/>
  <c r="L124" i="37"/>
  <c r="L80" i="37"/>
  <c r="H47" i="37"/>
  <c r="P141" i="37"/>
  <c r="H97" i="37"/>
  <c r="P139" i="36"/>
  <c r="R9" i="36"/>
  <c r="R125" i="36"/>
  <c r="L109" i="36"/>
  <c r="R109" i="37"/>
  <c r="H107" i="37"/>
  <c r="R40" i="37"/>
  <c r="L49" i="37"/>
  <c r="L89" i="37"/>
  <c r="J42" i="37"/>
  <c r="L35" i="37"/>
  <c r="H72" i="37"/>
  <c r="R29" i="36"/>
  <c r="R70" i="36"/>
  <c r="L95" i="36"/>
  <c r="L15" i="36"/>
  <c r="R74" i="36"/>
  <c r="L85" i="37"/>
  <c r="R74" i="37"/>
  <c r="R70" i="37"/>
  <c r="H117" i="37"/>
  <c r="P87" i="37"/>
  <c r="J62" i="37"/>
  <c r="R65" i="37"/>
  <c r="R104" i="37"/>
  <c r="L4" i="37"/>
  <c r="R49" i="36"/>
  <c r="L90" i="36"/>
  <c r="R94" i="36"/>
  <c r="L50" i="36"/>
  <c r="R50" i="36"/>
  <c r="J82" i="37"/>
  <c r="L30" i="37"/>
  <c r="L14" i="37"/>
  <c r="L44" i="37"/>
  <c r="P77" i="37"/>
  <c r="R45" i="37"/>
  <c r="L19" i="37"/>
  <c r="P42" i="37"/>
  <c r="H12" i="37"/>
  <c r="L119" i="37"/>
  <c r="J57" i="37"/>
  <c r="R30" i="37"/>
  <c r="L50" i="37"/>
  <c r="R105" i="36"/>
  <c r="P62" i="37"/>
  <c r="R10" i="36"/>
  <c r="P12" i="37"/>
  <c r="J37" i="37"/>
  <c r="H135" i="36"/>
  <c r="L20" i="36"/>
  <c r="H145" i="36"/>
  <c r="R20" i="36"/>
  <c r="H144" i="36"/>
  <c r="L84" i="36"/>
  <c r="R129" i="36"/>
  <c r="L114" i="36"/>
  <c r="L79" i="36"/>
  <c r="H134" i="36"/>
  <c r="L35" i="36"/>
  <c r="L19" i="36"/>
  <c r="R124" i="36"/>
  <c r="J149" i="36"/>
  <c r="L40" i="36"/>
  <c r="R84" i="36"/>
  <c r="L105" i="36"/>
  <c r="L74" i="36"/>
  <c r="R89" i="36"/>
  <c r="L10" i="36"/>
  <c r="P144" i="36"/>
  <c r="J132" i="37"/>
  <c r="H145" i="37"/>
  <c r="P150" i="36"/>
  <c r="J112" i="37"/>
  <c r="J12" i="37"/>
  <c r="P32" i="37"/>
  <c r="H27" i="37"/>
  <c r="H151" i="37"/>
  <c r="L110" i="37"/>
  <c r="R115" i="36"/>
  <c r="L34" i="36"/>
  <c r="R60" i="36"/>
  <c r="R80" i="37"/>
  <c r="R89" i="37"/>
  <c r="R90" i="37"/>
  <c r="R64" i="37"/>
  <c r="P7" i="37"/>
  <c r="R4" i="37"/>
  <c r="J72" i="37"/>
  <c r="L116" i="37"/>
  <c r="L16" i="37"/>
  <c r="J122" i="37"/>
  <c r="H87" i="37"/>
  <c r="R51" i="37"/>
  <c r="L20" i="37"/>
  <c r="R105" i="37"/>
  <c r="L70" i="37"/>
  <c r="L114" i="37"/>
  <c r="L29" i="37"/>
  <c r="H82" i="37"/>
  <c r="L25" i="37"/>
  <c r="H37" i="37"/>
  <c r="R50" i="37"/>
  <c r="L115" i="37"/>
  <c r="L76" i="37"/>
  <c r="L41" i="37"/>
  <c r="R69" i="36"/>
  <c r="L129" i="36"/>
  <c r="R61" i="37"/>
  <c r="R76" i="37"/>
  <c r="J47" i="37"/>
  <c r="H17" i="37"/>
  <c r="R34" i="37"/>
  <c r="J7" i="37"/>
  <c r="H102" i="37"/>
  <c r="H42" i="37"/>
  <c r="H152" i="37"/>
  <c r="R5" i="36"/>
  <c r="L120" i="36"/>
  <c r="L89" i="36"/>
  <c r="R60" i="37"/>
  <c r="J102" i="37"/>
  <c r="R124" i="37"/>
  <c r="L99" i="37"/>
  <c r="L79" i="37"/>
  <c r="L111" i="37"/>
  <c r="H62" i="37"/>
  <c r="L91" i="37"/>
  <c r="P47" i="37"/>
  <c r="L26" i="37"/>
  <c r="J52" i="37"/>
  <c r="L21" i="37"/>
  <c r="L100" i="37"/>
  <c r="H67" i="37"/>
  <c r="P27" i="37"/>
  <c r="P112" i="37"/>
  <c r="L95" i="37"/>
  <c r="L124" i="36"/>
  <c r="L30" i="36"/>
  <c r="P135" i="36"/>
  <c r="R109" i="36"/>
  <c r="H155" i="37"/>
  <c r="R116" i="37"/>
  <c r="R101" i="37"/>
  <c r="R16" i="37"/>
  <c r="J117" i="37"/>
  <c r="R11" i="37"/>
  <c r="R5" i="37"/>
  <c r="L40" i="37"/>
  <c r="L24" i="37"/>
  <c r="R99" i="37"/>
  <c r="P102" i="37"/>
  <c r="R130" i="37"/>
  <c r="R75" i="37"/>
  <c r="J22" i="37"/>
  <c r="P132" i="37"/>
  <c r="R10" i="37"/>
  <c r="L120" i="37"/>
  <c r="H156" i="37"/>
  <c r="L65" i="37"/>
  <c r="P22" i="37"/>
  <c r="R110" i="37"/>
  <c r="R25" i="37"/>
  <c r="J156" i="37"/>
  <c r="L45" i="37"/>
  <c r="H22" i="37"/>
  <c r="H57" i="37"/>
  <c r="P117" i="37"/>
  <c r="R49" i="37"/>
  <c r="R96" i="37"/>
  <c r="J142" i="37"/>
  <c r="P107" i="37"/>
  <c r="P140" i="37"/>
  <c r="R79" i="37"/>
  <c r="H122" i="37"/>
  <c r="R100" i="37"/>
  <c r="H146" i="37"/>
  <c r="P142" i="37"/>
  <c r="P72" i="37"/>
  <c r="L104" i="37"/>
  <c r="R24" i="37"/>
  <c r="J157" i="37"/>
  <c r="J17" i="37"/>
  <c r="J97" i="37"/>
  <c r="R21" i="37"/>
  <c r="H140" i="37"/>
  <c r="J155" i="37"/>
  <c r="R125" i="37"/>
  <c r="R35" i="37"/>
  <c r="J140" i="37"/>
  <c r="L75" i="37"/>
  <c r="R54" i="37"/>
  <c r="P57" i="37"/>
  <c r="R39" i="37"/>
  <c r="L55" i="37"/>
  <c r="H77" i="37"/>
  <c r="P122" i="37"/>
  <c r="R119" i="37"/>
  <c r="L94" i="37"/>
  <c r="H112" i="37"/>
  <c r="H157" i="37"/>
  <c r="J141" i="37"/>
  <c r="P97" i="37"/>
  <c r="R69" i="37"/>
  <c r="L34" i="37"/>
  <c r="L74" i="37"/>
  <c r="L64" i="37"/>
  <c r="P156" i="37"/>
  <c r="H141" i="37"/>
  <c r="R85" i="37"/>
  <c r="P157" i="37"/>
  <c r="R114" i="37"/>
  <c r="P52" i="37"/>
  <c r="R120" i="37"/>
  <c r="J145" i="36"/>
  <c r="R4" i="36"/>
  <c r="J134" i="36"/>
  <c r="L25" i="36"/>
  <c r="L44" i="36"/>
  <c r="J139" i="36"/>
  <c r="J144" i="36"/>
  <c r="L100" i="36"/>
  <c r="L85" i="36"/>
  <c r="L115" i="36"/>
  <c r="H150" i="36"/>
  <c r="R24" i="36"/>
  <c r="R55" i="36"/>
  <c r="P145" i="36"/>
  <c r="R25" i="36"/>
  <c r="P140" i="36"/>
  <c r="L24" i="36"/>
  <c r="R119" i="36"/>
  <c r="J150" i="36"/>
  <c r="R80" i="36"/>
  <c r="R90" i="36"/>
  <c r="L75" i="36"/>
  <c r="H140" i="36"/>
  <c r="H149" i="36"/>
  <c r="H139" i="36"/>
  <c r="L14" i="36"/>
  <c r="J135" i="36"/>
  <c r="P134" i="36"/>
  <c r="J140" i="36"/>
  <c r="P149" i="36"/>
  <c r="R100" i="36"/>
  <c r="R137" i="37" l="1"/>
  <c r="L137" i="37"/>
  <c r="R37" i="37"/>
  <c r="L52" i="37"/>
  <c r="L147" i="37"/>
  <c r="L142" i="37"/>
  <c r="R82" i="37"/>
  <c r="R92" i="37"/>
  <c r="L127" i="37"/>
  <c r="R67" i="37"/>
  <c r="L97" i="37"/>
  <c r="R17" i="37"/>
  <c r="R107" i="37"/>
  <c r="R57" i="37"/>
  <c r="R102" i="37"/>
  <c r="R77" i="37"/>
  <c r="R152" i="37"/>
  <c r="L87" i="37"/>
  <c r="L157" i="37"/>
  <c r="R142" i="37"/>
  <c r="L67" i="37"/>
  <c r="R147" i="37"/>
  <c r="R27" i="37"/>
  <c r="L92" i="37"/>
  <c r="R52" i="37"/>
  <c r="L132" i="37"/>
  <c r="L77" i="37"/>
  <c r="L134" i="36"/>
  <c r="L149" i="36"/>
  <c r="L27" i="37"/>
  <c r="R127" i="37"/>
  <c r="L150" i="37"/>
  <c r="L112" i="37"/>
  <c r="R122" i="37"/>
  <c r="L151" i="37"/>
  <c r="H153" i="37"/>
  <c r="L32" i="37"/>
  <c r="L122" i="37"/>
  <c r="L22" i="37"/>
  <c r="R47" i="37"/>
  <c r="R7" i="37"/>
  <c r="L72" i="37"/>
  <c r="R32" i="37"/>
  <c r="R87" i="37"/>
  <c r="R42" i="37"/>
  <c r="P143" i="37"/>
  <c r="L117" i="37"/>
  <c r="L82" i="37"/>
  <c r="R12" i="37"/>
  <c r="L107" i="37"/>
  <c r="L145" i="37"/>
  <c r="R97" i="37"/>
  <c r="J158" i="37"/>
  <c r="R151" i="37"/>
  <c r="R146" i="37"/>
  <c r="R112" i="37"/>
  <c r="L145" i="36"/>
  <c r="L57" i="37"/>
  <c r="R149" i="36"/>
  <c r="L62" i="37"/>
  <c r="L42" i="37"/>
  <c r="L47" i="37"/>
  <c r="L7" i="37"/>
  <c r="R156" i="37"/>
  <c r="P153" i="37"/>
  <c r="R62" i="37"/>
  <c r="R150" i="37"/>
  <c r="R117" i="37"/>
  <c r="J153" i="37"/>
  <c r="R72" i="37"/>
  <c r="L37" i="37"/>
  <c r="L12" i="37"/>
  <c r="L150" i="36"/>
  <c r="R145" i="36"/>
  <c r="R135" i="36"/>
  <c r="L144" i="36"/>
  <c r="R157" i="37"/>
  <c r="R155" i="37"/>
  <c r="L152" i="37"/>
  <c r="H143" i="37"/>
  <c r="J148" i="37"/>
  <c r="J143" i="37"/>
  <c r="P158" i="37"/>
  <c r="L17" i="37"/>
  <c r="H148" i="37"/>
  <c r="L155" i="37"/>
  <c r="R132" i="37"/>
  <c r="L102" i="37"/>
  <c r="R141" i="37"/>
  <c r="L141" i="37"/>
  <c r="H158" i="37"/>
  <c r="P148" i="37"/>
  <c r="R22" i="37"/>
  <c r="R145" i="37"/>
  <c r="R134" i="36"/>
  <c r="L140" i="37"/>
  <c r="R140" i="37"/>
  <c r="L146" i="37"/>
  <c r="L156" i="37"/>
  <c r="R150" i="36"/>
  <c r="R144" i="36"/>
  <c r="L139" i="36"/>
  <c r="R139" i="36"/>
  <c r="L135" i="36"/>
  <c r="L140" i="36"/>
  <c r="R140" i="36"/>
  <c r="R148" i="37" l="1"/>
  <c r="L153" i="37"/>
  <c r="R158" i="37"/>
  <c r="L143" i="37"/>
  <c r="R153" i="37"/>
  <c r="L158" i="37"/>
  <c r="J160" i="37"/>
  <c r="R143" i="37"/>
  <c r="P160" i="37"/>
  <c r="H160" i="37"/>
  <c r="L148" i="37"/>
  <c r="T160" i="37" l="1"/>
  <c r="L160" i="37"/>
  <c r="R160" i="37"/>
  <c r="N154" i="33"/>
  <c r="T152" i="33"/>
  <c r="N152" i="33"/>
  <c r="T151" i="33"/>
  <c r="N151" i="33"/>
  <c r="T150" i="33"/>
  <c r="N150" i="33"/>
  <c r="T149" i="33"/>
  <c r="N149" i="33"/>
  <c r="T147" i="33"/>
  <c r="N147" i="33"/>
  <c r="T146" i="33"/>
  <c r="N146" i="33"/>
  <c r="T145" i="33"/>
  <c r="N145" i="33"/>
  <c r="T144" i="33"/>
  <c r="N144" i="33"/>
  <c r="T142" i="33"/>
  <c r="N142" i="33"/>
  <c r="T141" i="33"/>
  <c r="N141" i="33"/>
  <c r="T140" i="33"/>
  <c r="N140" i="33"/>
  <c r="T139" i="33"/>
  <c r="N139" i="33"/>
  <c r="T137" i="33"/>
  <c r="N137" i="33"/>
  <c r="T136" i="33"/>
  <c r="N136" i="33"/>
  <c r="T135" i="33"/>
  <c r="N135" i="33"/>
  <c r="T134" i="33"/>
  <c r="N134" i="33"/>
  <c r="T132" i="33"/>
  <c r="N132" i="33"/>
  <c r="T131" i="33"/>
  <c r="N131" i="33"/>
  <c r="T130" i="33"/>
  <c r="N130" i="33"/>
  <c r="T129" i="33"/>
  <c r="N129" i="33"/>
  <c r="T127" i="33"/>
  <c r="N127" i="33"/>
  <c r="T126" i="33"/>
  <c r="N126" i="33"/>
  <c r="T125" i="33"/>
  <c r="N125" i="33"/>
  <c r="T124" i="33"/>
  <c r="N124" i="33"/>
  <c r="T122" i="33"/>
  <c r="N122" i="33"/>
  <c r="T121" i="33"/>
  <c r="N121" i="33"/>
  <c r="T120" i="33"/>
  <c r="N120" i="33"/>
  <c r="T119" i="33"/>
  <c r="N119" i="33"/>
  <c r="T117" i="33"/>
  <c r="N117" i="33"/>
  <c r="T116" i="33"/>
  <c r="N116" i="33"/>
  <c r="T115" i="33"/>
  <c r="N115" i="33"/>
  <c r="T114" i="33"/>
  <c r="N114" i="33"/>
  <c r="T112" i="33"/>
  <c r="N112" i="33"/>
  <c r="T111" i="33"/>
  <c r="N111" i="33"/>
  <c r="T110" i="33"/>
  <c r="N110" i="33"/>
  <c r="T109" i="33"/>
  <c r="N109" i="33"/>
  <c r="T107" i="33"/>
  <c r="N107" i="33"/>
  <c r="T106" i="33"/>
  <c r="N106" i="33"/>
  <c r="T105" i="33"/>
  <c r="N105" i="33"/>
  <c r="T104" i="33"/>
  <c r="N104" i="33"/>
  <c r="T102" i="33"/>
  <c r="N102" i="33"/>
  <c r="T101" i="33"/>
  <c r="N101" i="33"/>
  <c r="T100" i="33"/>
  <c r="N100" i="33"/>
  <c r="T99" i="33"/>
  <c r="N99" i="33"/>
  <c r="T97" i="33"/>
  <c r="N97" i="33"/>
  <c r="T96" i="33"/>
  <c r="N96" i="33"/>
  <c r="T95" i="33"/>
  <c r="N95" i="33"/>
  <c r="T94" i="33"/>
  <c r="N94" i="33"/>
  <c r="T92" i="33"/>
  <c r="N92" i="33"/>
  <c r="T91" i="33"/>
  <c r="N91" i="33"/>
  <c r="T90" i="33"/>
  <c r="N90" i="33"/>
  <c r="T89" i="33"/>
  <c r="N89" i="33"/>
  <c r="T87" i="33"/>
  <c r="N87" i="33"/>
  <c r="T86" i="33"/>
  <c r="N86" i="33"/>
  <c r="T85" i="33"/>
  <c r="N85" i="33"/>
  <c r="T84" i="33"/>
  <c r="N84" i="33"/>
  <c r="T82" i="33"/>
  <c r="N82" i="33"/>
  <c r="T81" i="33"/>
  <c r="N81" i="33"/>
  <c r="T80" i="33"/>
  <c r="N80" i="33"/>
  <c r="T79" i="33"/>
  <c r="N79" i="33"/>
  <c r="T77" i="33"/>
  <c r="N77" i="33"/>
  <c r="T76" i="33"/>
  <c r="N76" i="33"/>
  <c r="T75" i="33"/>
  <c r="N75" i="33"/>
  <c r="T74" i="33"/>
  <c r="N74" i="33"/>
  <c r="T72" i="33"/>
  <c r="N72" i="33"/>
  <c r="T71" i="33"/>
  <c r="N71" i="33"/>
  <c r="T70" i="33"/>
  <c r="N70" i="33"/>
  <c r="T69" i="33"/>
  <c r="N69" i="33"/>
  <c r="T67" i="33"/>
  <c r="N67" i="33"/>
  <c r="T66" i="33"/>
  <c r="N66" i="33"/>
  <c r="T65" i="33"/>
  <c r="N65" i="33"/>
  <c r="T64" i="33"/>
  <c r="N64" i="33"/>
  <c r="T62" i="33"/>
  <c r="N62" i="33"/>
  <c r="T61" i="33"/>
  <c r="N61" i="33"/>
  <c r="T60" i="33"/>
  <c r="N60" i="33"/>
  <c r="T59" i="33"/>
  <c r="N59" i="33"/>
  <c r="T57" i="33"/>
  <c r="N57" i="33"/>
  <c r="T56" i="33"/>
  <c r="N56" i="33"/>
  <c r="T55" i="33"/>
  <c r="N55" i="33"/>
  <c r="T54" i="33"/>
  <c r="N54" i="33"/>
  <c r="T52" i="33"/>
  <c r="N52" i="33"/>
  <c r="T51" i="33"/>
  <c r="N51" i="33"/>
  <c r="T50" i="33"/>
  <c r="N50" i="33"/>
  <c r="T49" i="33"/>
  <c r="N49" i="33"/>
  <c r="T47" i="33"/>
  <c r="N47" i="33"/>
  <c r="T46" i="33"/>
  <c r="N46" i="33"/>
  <c r="T45" i="33"/>
  <c r="N45" i="33"/>
  <c r="T44" i="33"/>
  <c r="N44" i="33"/>
  <c r="T42" i="33"/>
  <c r="N42" i="33"/>
  <c r="T41" i="33"/>
  <c r="N41" i="33"/>
  <c r="T40" i="33"/>
  <c r="N40" i="33"/>
  <c r="T39" i="33"/>
  <c r="N39" i="33"/>
  <c r="T37" i="33"/>
  <c r="N37" i="33"/>
  <c r="T36" i="33"/>
  <c r="N36" i="33"/>
  <c r="T35" i="33"/>
  <c r="N35" i="33"/>
  <c r="T34" i="33"/>
  <c r="N34" i="33"/>
  <c r="T32" i="33"/>
  <c r="N32" i="33"/>
  <c r="T31" i="33"/>
  <c r="N31" i="33"/>
  <c r="T30" i="33"/>
  <c r="N30" i="33"/>
  <c r="T29" i="33"/>
  <c r="N29" i="33"/>
  <c r="T27" i="33"/>
  <c r="N27" i="33"/>
  <c r="T26" i="33"/>
  <c r="N26" i="33"/>
  <c r="T25" i="33"/>
  <c r="N25" i="33"/>
  <c r="T24" i="33"/>
  <c r="N24" i="33"/>
  <c r="T22" i="33"/>
  <c r="N22" i="33"/>
  <c r="T21" i="33"/>
  <c r="N21" i="33"/>
  <c r="T20" i="33"/>
  <c r="N20" i="33"/>
  <c r="T19" i="33"/>
  <c r="N19" i="33"/>
  <c r="T17" i="33"/>
  <c r="N17" i="33"/>
  <c r="T16" i="33"/>
  <c r="N16" i="33"/>
  <c r="T15" i="33"/>
  <c r="N15" i="33"/>
  <c r="T14" i="33"/>
  <c r="N14" i="33"/>
  <c r="T12" i="33"/>
  <c r="N12" i="33"/>
  <c r="T11" i="33"/>
  <c r="N11" i="33"/>
  <c r="T10" i="33"/>
  <c r="N10" i="33"/>
  <c r="T9" i="33"/>
  <c r="N9" i="33"/>
  <c r="T7" i="33"/>
  <c r="N7" i="33"/>
  <c r="T6" i="33"/>
  <c r="N6" i="33"/>
  <c r="T5" i="33"/>
  <c r="N5" i="33"/>
  <c r="T4" i="33"/>
  <c r="N4" i="33"/>
  <c r="H67" i="36" l="1"/>
  <c r="J66" i="33" a="1"/>
  <c r="J66" i="33" s="1"/>
  <c r="H66" i="33"/>
  <c r="J131" i="33" a="1"/>
  <c r="J131" i="33" s="1"/>
  <c r="H131" i="33"/>
  <c r="H132" i="36"/>
  <c r="P127" i="36"/>
  <c r="J126" i="33" a="1"/>
  <c r="J126" i="33" s="1"/>
  <c r="H126" i="33"/>
  <c r="J37" i="36"/>
  <c r="H36" i="33"/>
  <c r="J36" i="33" a="1"/>
  <c r="J36" i="33" s="1"/>
  <c r="J111" i="33" a="1"/>
  <c r="J111" i="33" s="1"/>
  <c r="H111" i="33"/>
  <c r="H112" i="36"/>
  <c r="H102" i="36"/>
  <c r="J101" i="33" a="1"/>
  <c r="J101" i="33" s="1"/>
  <c r="H101" i="33"/>
  <c r="H26" i="33"/>
  <c r="J26" i="33" a="1"/>
  <c r="J26" i="33" s="1"/>
  <c r="H27" i="36"/>
  <c r="H87" i="36"/>
  <c r="H86" i="33"/>
  <c r="J86" i="33" a="1"/>
  <c r="J86" i="33" s="1"/>
  <c r="H117" i="36"/>
  <c r="J116" i="33" a="1"/>
  <c r="J116" i="33" s="1"/>
  <c r="H116" i="33"/>
  <c r="J11" i="33" a="1"/>
  <c r="J11" i="33" s="1"/>
  <c r="H12" i="36"/>
  <c r="H11" i="33"/>
  <c r="H56" i="33"/>
  <c r="J56" i="33" a="1"/>
  <c r="J56" i="33" s="1"/>
  <c r="J57" i="36"/>
  <c r="J31" i="33" a="1"/>
  <c r="J31" i="33" s="1"/>
  <c r="H32" i="36"/>
  <c r="H31" i="33"/>
  <c r="H46" i="33"/>
  <c r="J46" i="33" a="1"/>
  <c r="J46" i="33" s="1"/>
  <c r="J47" i="36"/>
  <c r="H42" i="36"/>
  <c r="J41" i="33" a="1"/>
  <c r="J41" i="33" s="1"/>
  <c r="H41" i="33"/>
  <c r="J71" i="33" a="1"/>
  <c r="J71" i="33" s="1"/>
  <c r="H71" i="33"/>
  <c r="H72" i="36"/>
  <c r="H97" i="36"/>
  <c r="H96" i="33"/>
  <c r="J96" i="33" a="1"/>
  <c r="J96" i="33" s="1"/>
  <c r="H16" i="33"/>
  <c r="J16" i="33" a="1"/>
  <c r="J16" i="33" s="1"/>
  <c r="J91" i="33" a="1"/>
  <c r="J91" i="33" s="1"/>
  <c r="H91" i="33"/>
  <c r="J21" i="33" a="1"/>
  <c r="J21" i="33" s="1"/>
  <c r="H21" i="33"/>
  <c r="H22" i="36"/>
  <c r="J61" i="33" a="1"/>
  <c r="J61" i="33" s="1"/>
  <c r="H61" i="33"/>
  <c r="P107" i="36"/>
  <c r="J106" i="33" a="1"/>
  <c r="J106" i="33" s="1"/>
  <c r="H106" i="33"/>
  <c r="H82" i="36"/>
  <c r="J81" i="33" a="1"/>
  <c r="J81" i="33" s="1"/>
  <c r="H81" i="33"/>
  <c r="H76" i="33"/>
  <c r="H77" i="36"/>
  <c r="J76" i="33" a="1"/>
  <c r="J76" i="33" s="1"/>
  <c r="J51" i="33" a="1"/>
  <c r="J51" i="33" s="1"/>
  <c r="H51" i="33"/>
  <c r="H52" i="36"/>
  <c r="H122" i="36"/>
  <c r="J121" i="33" a="1"/>
  <c r="J121" i="33" s="1"/>
  <c r="H121" i="33"/>
  <c r="J99" i="33"/>
  <c r="H99" i="33"/>
  <c r="J4" i="33"/>
  <c r="H4" i="33"/>
  <c r="J109" i="33"/>
  <c r="H109" i="33"/>
  <c r="J69" i="33"/>
  <c r="H69" i="33"/>
  <c r="J129" i="33"/>
  <c r="H129" i="33"/>
  <c r="J79" i="33"/>
  <c r="H79" i="33"/>
  <c r="J9" i="33"/>
  <c r="H9" i="33"/>
  <c r="J89" i="33"/>
  <c r="H89" i="33"/>
  <c r="J35" i="33"/>
  <c r="H35" i="33"/>
  <c r="J40" i="33"/>
  <c r="H40" i="33"/>
  <c r="J30" i="33"/>
  <c r="H30" i="33"/>
  <c r="J115" i="33"/>
  <c r="H115" i="33"/>
  <c r="J65" i="33"/>
  <c r="H65" i="33"/>
  <c r="J105" i="33"/>
  <c r="H105" i="33"/>
  <c r="J55" i="33"/>
  <c r="H55" i="33"/>
  <c r="J95" i="33"/>
  <c r="H95" i="33"/>
  <c r="J85" i="33"/>
  <c r="H85" i="33"/>
  <c r="J19" i="33"/>
  <c r="H19" i="33"/>
  <c r="J119" i="33"/>
  <c r="H119" i="33"/>
  <c r="J64" i="33"/>
  <c r="H64" i="33"/>
  <c r="J59" i="33"/>
  <c r="H59" i="33"/>
  <c r="J39" i="33"/>
  <c r="H39" i="33"/>
  <c r="J104" i="33"/>
  <c r="H104" i="33"/>
  <c r="J124" i="33"/>
  <c r="H124" i="33"/>
  <c r="H114" i="33"/>
  <c r="J114" i="33"/>
  <c r="J94" i="33"/>
  <c r="H94" i="33"/>
  <c r="J84" i="33"/>
  <c r="H84" i="33"/>
  <c r="H120" i="33"/>
  <c r="J120" i="33"/>
  <c r="J125" i="33"/>
  <c r="H125" i="33"/>
  <c r="H110" i="33"/>
  <c r="J110" i="33"/>
  <c r="J70" i="33"/>
  <c r="H70" i="33"/>
  <c r="J75" i="33"/>
  <c r="H75" i="33"/>
  <c r="J45" i="33"/>
  <c r="H45" i="33"/>
  <c r="J29" i="33"/>
  <c r="H29" i="33"/>
  <c r="J74" i="33"/>
  <c r="H74" i="33"/>
  <c r="J44" i="33"/>
  <c r="H44" i="33"/>
  <c r="J20" i="33"/>
  <c r="H20" i="33"/>
  <c r="J50" i="33"/>
  <c r="H50" i="33"/>
  <c r="J15" i="33"/>
  <c r="H15" i="33"/>
  <c r="J34" i="33"/>
  <c r="H34" i="33"/>
  <c r="J60" i="33"/>
  <c r="H60" i="33"/>
  <c r="J24" i="33"/>
  <c r="H24" i="33"/>
  <c r="J54" i="33"/>
  <c r="H54" i="33"/>
  <c r="J49" i="33"/>
  <c r="H49" i="33"/>
  <c r="J14" i="33"/>
  <c r="H14" i="33"/>
  <c r="J25" i="33"/>
  <c r="H25" i="33"/>
  <c r="J90" i="33"/>
  <c r="H90" i="33"/>
  <c r="J100" i="33"/>
  <c r="H100" i="33"/>
  <c r="J5" i="33"/>
  <c r="H5" i="33"/>
  <c r="J130" i="33"/>
  <c r="H130" i="33"/>
  <c r="J80" i="33"/>
  <c r="H80" i="33"/>
  <c r="J10" i="33"/>
  <c r="H10" i="33"/>
  <c r="J6" i="33" a="1"/>
  <c r="J6" i="33" s="1"/>
  <c r="P26" i="33"/>
  <c r="P96" i="33"/>
  <c r="P116" i="33"/>
  <c r="P66" i="33"/>
  <c r="P131" i="33"/>
  <c r="P31" i="33"/>
  <c r="P51" i="33"/>
  <c r="P21" i="33"/>
  <c r="P11" i="33"/>
  <c r="P76" i="33"/>
  <c r="P86" i="33"/>
  <c r="P126" i="33"/>
  <c r="P36" i="33"/>
  <c r="P106" i="33"/>
  <c r="P41" i="33"/>
  <c r="P101" i="33"/>
  <c r="P56" i="33"/>
  <c r="P46" i="33"/>
  <c r="P91" i="33"/>
  <c r="P61" i="33"/>
  <c r="P111" i="33"/>
  <c r="P81" i="33"/>
  <c r="P71" i="33"/>
  <c r="H6" i="33"/>
  <c r="P6" i="33"/>
  <c r="P16" i="33"/>
  <c r="P121" i="33"/>
  <c r="J126" i="29" a="1"/>
  <c r="J126" i="29" s="1"/>
  <c r="H36" i="29"/>
  <c r="P91" i="29"/>
  <c r="P111" i="29"/>
  <c r="H61" i="29"/>
  <c r="J31" i="29" a="1"/>
  <c r="J31" i="29" s="1"/>
  <c r="H11" i="29"/>
  <c r="J26" i="29" a="1"/>
  <c r="J26" i="29" s="1"/>
  <c r="J125" i="29" a="1"/>
  <c r="J125" i="29" s="1"/>
  <c r="J20" i="29" a="1"/>
  <c r="J20" i="29" s="1"/>
  <c r="P10" i="29"/>
  <c r="N154" i="29"/>
  <c r="T152" i="29"/>
  <c r="N152" i="29"/>
  <c r="T151" i="29"/>
  <c r="N151" i="29"/>
  <c r="T150" i="29"/>
  <c r="N150" i="29"/>
  <c r="T149" i="29"/>
  <c r="N149" i="29"/>
  <c r="T147" i="29"/>
  <c r="N147" i="29"/>
  <c r="T146" i="29"/>
  <c r="N146" i="29"/>
  <c r="T145" i="29"/>
  <c r="N145" i="29"/>
  <c r="T144" i="29"/>
  <c r="N144" i="29"/>
  <c r="T142" i="29"/>
  <c r="N142" i="29"/>
  <c r="T141" i="29"/>
  <c r="N141" i="29"/>
  <c r="T140" i="29"/>
  <c r="N140" i="29"/>
  <c r="T139" i="29"/>
  <c r="N139" i="29"/>
  <c r="T137" i="29"/>
  <c r="N137" i="29"/>
  <c r="T136" i="29"/>
  <c r="N136" i="29"/>
  <c r="T135" i="29"/>
  <c r="N135" i="29"/>
  <c r="T134" i="29"/>
  <c r="N134" i="29"/>
  <c r="T132" i="29"/>
  <c r="N132" i="29"/>
  <c r="T131" i="29"/>
  <c r="N131" i="29"/>
  <c r="T130" i="29"/>
  <c r="N130" i="29"/>
  <c r="T129" i="29"/>
  <c r="N129" i="29"/>
  <c r="T127" i="29"/>
  <c r="N127" i="29"/>
  <c r="T126" i="29"/>
  <c r="N126" i="29"/>
  <c r="T125" i="29"/>
  <c r="N125" i="29"/>
  <c r="T124" i="29"/>
  <c r="N124" i="29"/>
  <c r="T122" i="29"/>
  <c r="N122" i="29"/>
  <c r="T121" i="29"/>
  <c r="N121" i="29"/>
  <c r="T120" i="29"/>
  <c r="N120" i="29"/>
  <c r="T119" i="29"/>
  <c r="N119" i="29"/>
  <c r="T117" i="29"/>
  <c r="N117" i="29"/>
  <c r="T116" i="29"/>
  <c r="N116" i="29"/>
  <c r="T115" i="29"/>
  <c r="N115" i="29"/>
  <c r="T114" i="29"/>
  <c r="N114" i="29"/>
  <c r="T112" i="29"/>
  <c r="N112" i="29"/>
  <c r="T111" i="29"/>
  <c r="N111" i="29"/>
  <c r="T110" i="29"/>
  <c r="N110" i="29"/>
  <c r="T109" i="29"/>
  <c r="N109" i="29"/>
  <c r="T107" i="29"/>
  <c r="N107" i="29"/>
  <c r="T106" i="29"/>
  <c r="N106" i="29"/>
  <c r="T105" i="29"/>
  <c r="N105" i="29"/>
  <c r="T104" i="29"/>
  <c r="N104" i="29"/>
  <c r="T102" i="29"/>
  <c r="N102" i="29"/>
  <c r="T101" i="29"/>
  <c r="N101" i="29"/>
  <c r="T100" i="29"/>
  <c r="N100" i="29"/>
  <c r="T99" i="29"/>
  <c r="N99" i="29"/>
  <c r="T97" i="29"/>
  <c r="N97" i="29"/>
  <c r="T96" i="29"/>
  <c r="N96" i="29"/>
  <c r="T95" i="29"/>
  <c r="N95" i="29"/>
  <c r="T94" i="29"/>
  <c r="N94" i="29"/>
  <c r="T92" i="29"/>
  <c r="N92" i="29"/>
  <c r="T91" i="29"/>
  <c r="N91" i="29"/>
  <c r="T90" i="29"/>
  <c r="N90" i="29"/>
  <c r="T89" i="29"/>
  <c r="N89" i="29"/>
  <c r="T87" i="29"/>
  <c r="N87" i="29"/>
  <c r="T86" i="29"/>
  <c r="N86" i="29"/>
  <c r="T85" i="29"/>
  <c r="N85" i="29"/>
  <c r="T84" i="29"/>
  <c r="N84" i="29"/>
  <c r="T82" i="29"/>
  <c r="N82" i="29"/>
  <c r="T81" i="29"/>
  <c r="N81" i="29"/>
  <c r="T80" i="29"/>
  <c r="N80" i="29"/>
  <c r="T79" i="29"/>
  <c r="N79" i="29"/>
  <c r="T77" i="29"/>
  <c r="N77" i="29"/>
  <c r="T76" i="29"/>
  <c r="N76" i="29"/>
  <c r="T75" i="29"/>
  <c r="N75" i="29"/>
  <c r="T74" i="29"/>
  <c r="N74" i="29"/>
  <c r="T72" i="29"/>
  <c r="N72" i="29"/>
  <c r="T71" i="29"/>
  <c r="N71" i="29"/>
  <c r="T70" i="29"/>
  <c r="N70" i="29"/>
  <c r="T69" i="29"/>
  <c r="N69" i="29"/>
  <c r="T67" i="29"/>
  <c r="N67" i="29"/>
  <c r="T66" i="29"/>
  <c r="N66" i="29"/>
  <c r="T65" i="29"/>
  <c r="N65" i="29"/>
  <c r="T64" i="29"/>
  <c r="N64" i="29"/>
  <c r="T62" i="29"/>
  <c r="N62" i="29"/>
  <c r="T61" i="29"/>
  <c r="N61" i="29"/>
  <c r="T60" i="29"/>
  <c r="N60" i="29"/>
  <c r="T59" i="29"/>
  <c r="N59" i="29"/>
  <c r="T57" i="29"/>
  <c r="N57" i="29"/>
  <c r="T56" i="29"/>
  <c r="N56" i="29"/>
  <c r="T55" i="29"/>
  <c r="N55" i="29"/>
  <c r="T54" i="29"/>
  <c r="N54" i="29"/>
  <c r="T52" i="29"/>
  <c r="N52" i="29"/>
  <c r="T51" i="29"/>
  <c r="N51" i="29"/>
  <c r="T50" i="29"/>
  <c r="N50" i="29"/>
  <c r="T49" i="29"/>
  <c r="N49" i="29"/>
  <c r="T47" i="29"/>
  <c r="N47" i="29"/>
  <c r="T46" i="29"/>
  <c r="N46" i="29"/>
  <c r="T45" i="29"/>
  <c r="N45" i="29"/>
  <c r="T44" i="29"/>
  <c r="N44" i="29"/>
  <c r="T42" i="29"/>
  <c r="N42" i="29"/>
  <c r="T41" i="29"/>
  <c r="N41" i="29"/>
  <c r="T40" i="29"/>
  <c r="N40" i="29"/>
  <c r="T39" i="29"/>
  <c r="N39" i="29"/>
  <c r="T37" i="29"/>
  <c r="N37" i="29"/>
  <c r="T36" i="29"/>
  <c r="N36" i="29"/>
  <c r="T35" i="29"/>
  <c r="N35" i="29"/>
  <c r="T34" i="29"/>
  <c r="N34" i="29"/>
  <c r="T32" i="29"/>
  <c r="N32" i="29"/>
  <c r="T31" i="29"/>
  <c r="N31" i="29"/>
  <c r="T30" i="29"/>
  <c r="N30" i="29"/>
  <c r="T29" i="29"/>
  <c r="N29" i="29"/>
  <c r="T27" i="29"/>
  <c r="N27" i="29"/>
  <c r="T26" i="29"/>
  <c r="N26" i="29"/>
  <c r="T25" i="29"/>
  <c r="N25" i="29"/>
  <c r="T24" i="29"/>
  <c r="N24" i="29"/>
  <c r="T22" i="29"/>
  <c r="N22" i="29"/>
  <c r="T21" i="29"/>
  <c r="N21" i="29"/>
  <c r="T20" i="29"/>
  <c r="N20" i="29"/>
  <c r="T19" i="29"/>
  <c r="N19" i="29"/>
  <c r="T17" i="29"/>
  <c r="N17" i="29"/>
  <c r="T16" i="29"/>
  <c r="N16" i="29"/>
  <c r="T15" i="29"/>
  <c r="N15" i="29"/>
  <c r="T14" i="29"/>
  <c r="N14" i="29"/>
  <c r="T12" i="29"/>
  <c r="N12" i="29"/>
  <c r="T11" i="29"/>
  <c r="N11" i="29"/>
  <c r="T10" i="29"/>
  <c r="N10" i="29"/>
  <c r="T9" i="29"/>
  <c r="N9" i="29"/>
  <c r="T7" i="29"/>
  <c r="N7" i="29"/>
  <c r="T6" i="29"/>
  <c r="N6" i="29"/>
  <c r="T5" i="29"/>
  <c r="N5" i="29"/>
  <c r="T4" i="29"/>
  <c r="N4" i="29"/>
  <c r="H66" i="29"/>
  <c r="P66" i="29"/>
  <c r="P131" i="29"/>
  <c r="H26" i="29"/>
  <c r="P61" i="29"/>
  <c r="H105" i="29"/>
  <c r="H114" i="29"/>
  <c r="P119" i="29"/>
  <c r="H65" i="29"/>
  <c r="H110" i="29"/>
  <c r="W21" i="21" a="1"/>
  <c r="J121" i="3" a="1"/>
  <c r="J16" i="3" a="1"/>
  <c r="H61" i="3"/>
  <c r="W16" i="21" a="1"/>
  <c r="J81" i="3" a="1"/>
  <c r="J96" i="3" a="1"/>
  <c r="W11" i="21" a="1"/>
  <c r="J111" i="3" a="1"/>
  <c r="J76" i="3" a="1"/>
  <c r="P60" i="3"/>
  <c r="T5" i="3"/>
  <c r="T6" i="3"/>
  <c r="T7" i="3"/>
  <c r="T9" i="3"/>
  <c r="T10" i="3"/>
  <c r="T11" i="3"/>
  <c r="T12" i="3"/>
  <c r="T14" i="3"/>
  <c r="T15" i="3"/>
  <c r="T16" i="3"/>
  <c r="T17" i="3"/>
  <c r="T19" i="3"/>
  <c r="T20" i="3"/>
  <c r="T21" i="3"/>
  <c r="T22" i="3"/>
  <c r="T24" i="3"/>
  <c r="T25" i="3"/>
  <c r="T26" i="3"/>
  <c r="T27" i="3"/>
  <c r="T29" i="3"/>
  <c r="T30" i="3"/>
  <c r="T31" i="3"/>
  <c r="T32" i="3"/>
  <c r="T34" i="3"/>
  <c r="T35" i="3"/>
  <c r="T36" i="3"/>
  <c r="T37" i="3"/>
  <c r="T39" i="3"/>
  <c r="T40" i="3"/>
  <c r="T41" i="3"/>
  <c r="T42" i="3"/>
  <c r="T44" i="3"/>
  <c r="T45" i="3"/>
  <c r="T46" i="3"/>
  <c r="T47" i="3"/>
  <c r="T49" i="3"/>
  <c r="T50" i="3"/>
  <c r="T51" i="3"/>
  <c r="T52" i="3"/>
  <c r="T54" i="3"/>
  <c r="T55" i="3"/>
  <c r="T56" i="3"/>
  <c r="T57" i="3"/>
  <c r="T59" i="3"/>
  <c r="T60" i="3"/>
  <c r="T61" i="3"/>
  <c r="T62" i="3"/>
  <c r="T64" i="3"/>
  <c r="T65" i="3"/>
  <c r="T66" i="3"/>
  <c r="T67" i="3"/>
  <c r="T69" i="3"/>
  <c r="T70" i="3"/>
  <c r="T71" i="3"/>
  <c r="T72" i="3"/>
  <c r="T74" i="3"/>
  <c r="T75" i="3"/>
  <c r="T76" i="3"/>
  <c r="T77" i="3"/>
  <c r="T79" i="3"/>
  <c r="T80" i="3"/>
  <c r="T81" i="3"/>
  <c r="T82" i="3"/>
  <c r="T84" i="3"/>
  <c r="T85" i="3"/>
  <c r="T86" i="3"/>
  <c r="T87" i="3"/>
  <c r="T89" i="3"/>
  <c r="T90" i="3"/>
  <c r="T91" i="3"/>
  <c r="T92" i="3"/>
  <c r="T94" i="3"/>
  <c r="T95" i="3"/>
  <c r="T96" i="3"/>
  <c r="T97" i="3"/>
  <c r="T99" i="3"/>
  <c r="T100" i="3"/>
  <c r="T101" i="3"/>
  <c r="T102" i="3"/>
  <c r="T104" i="3"/>
  <c r="T105" i="3"/>
  <c r="T106" i="3"/>
  <c r="T107" i="3"/>
  <c r="T109" i="3"/>
  <c r="T110" i="3"/>
  <c r="T111" i="3"/>
  <c r="T112" i="3"/>
  <c r="T114" i="3"/>
  <c r="T115" i="3"/>
  <c r="T116" i="3"/>
  <c r="T117" i="3"/>
  <c r="T119" i="3"/>
  <c r="T120" i="3"/>
  <c r="T121" i="3"/>
  <c r="T122" i="3"/>
  <c r="T124" i="3"/>
  <c r="T125" i="3"/>
  <c r="T126" i="3"/>
  <c r="T127" i="3"/>
  <c r="T129" i="3"/>
  <c r="T130" i="3"/>
  <c r="T131" i="3"/>
  <c r="T132" i="3"/>
  <c r="T134" i="3"/>
  <c r="T135" i="3"/>
  <c r="T136" i="3"/>
  <c r="T137" i="3"/>
  <c r="T139" i="3"/>
  <c r="T140" i="3"/>
  <c r="T141" i="3"/>
  <c r="T142" i="3"/>
  <c r="T144" i="3"/>
  <c r="T145" i="3"/>
  <c r="T146" i="3"/>
  <c r="T147" i="3"/>
  <c r="T149" i="3"/>
  <c r="T150" i="3"/>
  <c r="T151" i="3"/>
  <c r="T152" i="3"/>
  <c r="T4" i="3"/>
  <c r="N154" i="21"/>
  <c r="N152" i="21"/>
  <c r="N151" i="21"/>
  <c r="H151" i="21"/>
  <c r="N150" i="21"/>
  <c r="H150" i="21"/>
  <c r="N149" i="21"/>
  <c r="H149" i="21"/>
  <c r="N147" i="21"/>
  <c r="N146" i="21"/>
  <c r="H146" i="21"/>
  <c r="N145" i="21"/>
  <c r="H145" i="21"/>
  <c r="N144" i="21"/>
  <c r="H144" i="21"/>
  <c r="N142" i="21"/>
  <c r="N141" i="21"/>
  <c r="H141" i="21"/>
  <c r="N140" i="21"/>
  <c r="H140" i="21"/>
  <c r="N139" i="21"/>
  <c r="H139" i="21"/>
  <c r="N137" i="21"/>
  <c r="N136" i="21"/>
  <c r="H136" i="21"/>
  <c r="N135" i="21"/>
  <c r="H135" i="21"/>
  <c r="N134" i="21"/>
  <c r="H134" i="21"/>
  <c r="N132" i="21"/>
  <c r="H132" i="21"/>
  <c r="N131" i="21"/>
  <c r="N130" i="21"/>
  <c r="N129" i="21"/>
  <c r="N127" i="21"/>
  <c r="H127" i="21"/>
  <c r="N126" i="21"/>
  <c r="N125" i="21"/>
  <c r="N124" i="21"/>
  <c r="N122" i="21"/>
  <c r="H122" i="21"/>
  <c r="N121" i="21"/>
  <c r="N120" i="21"/>
  <c r="N119" i="21"/>
  <c r="N117" i="21"/>
  <c r="H117" i="21"/>
  <c r="N116" i="21"/>
  <c r="N115" i="21"/>
  <c r="N114" i="21"/>
  <c r="N112" i="21"/>
  <c r="H112" i="21"/>
  <c r="N111" i="21"/>
  <c r="N110" i="21"/>
  <c r="N109" i="21"/>
  <c r="N107" i="21"/>
  <c r="H107" i="21"/>
  <c r="N106" i="21"/>
  <c r="N105" i="21"/>
  <c r="N104" i="21"/>
  <c r="N102" i="21"/>
  <c r="H102" i="21"/>
  <c r="N101" i="21"/>
  <c r="N100" i="21"/>
  <c r="N99" i="21"/>
  <c r="N97" i="21"/>
  <c r="H97" i="21"/>
  <c r="N96" i="21"/>
  <c r="N95" i="21"/>
  <c r="N94" i="21"/>
  <c r="N92" i="21"/>
  <c r="H92" i="21"/>
  <c r="N91" i="21"/>
  <c r="N90" i="21"/>
  <c r="N89" i="21"/>
  <c r="N87" i="21"/>
  <c r="H87" i="21"/>
  <c r="N86" i="21"/>
  <c r="N85" i="21"/>
  <c r="N84" i="21"/>
  <c r="N82" i="21"/>
  <c r="H82" i="21"/>
  <c r="N81" i="21"/>
  <c r="N80" i="21"/>
  <c r="N79" i="21"/>
  <c r="N77" i="21"/>
  <c r="H77" i="21"/>
  <c r="N76" i="21"/>
  <c r="N75" i="21"/>
  <c r="N74" i="21"/>
  <c r="N72" i="21"/>
  <c r="H72" i="21"/>
  <c r="N71" i="21"/>
  <c r="N70" i="21"/>
  <c r="N69" i="21"/>
  <c r="N67" i="21"/>
  <c r="N66" i="21"/>
  <c r="N65" i="21"/>
  <c r="N64" i="21"/>
  <c r="N62" i="21"/>
  <c r="H62" i="21"/>
  <c r="N61" i="21"/>
  <c r="N60" i="21"/>
  <c r="N59" i="21"/>
  <c r="N57" i="21"/>
  <c r="H57" i="21"/>
  <c r="N56" i="21"/>
  <c r="N55" i="21"/>
  <c r="N54" i="21"/>
  <c r="N52" i="21"/>
  <c r="H52" i="21"/>
  <c r="N51" i="21"/>
  <c r="N50" i="21"/>
  <c r="N49" i="21"/>
  <c r="N47" i="21"/>
  <c r="H47" i="21"/>
  <c r="N46" i="21"/>
  <c r="N45" i="21"/>
  <c r="N44" i="21"/>
  <c r="N42" i="21"/>
  <c r="H42" i="21"/>
  <c r="N41" i="21"/>
  <c r="N40" i="21"/>
  <c r="AG39" i="21"/>
  <c r="N39" i="21"/>
  <c r="AG38" i="21"/>
  <c r="AG37" i="21"/>
  <c r="N37" i="21"/>
  <c r="H37" i="21"/>
  <c r="AG36" i="21"/>
  <c r="N36" i="21"/>
  <c r="AG35" i="21"/>
  <c r="N35" i="21"/>
  <c r="AG34" i="21"/>
  <c r="N34" i="21"/>
  <c r="AG33" i="21"/>
  <c r="N32" i="21"/>
  <c r="H32" i="21"/>
  <c r="N31" i="21"/>
  <c r="AG30" i="21"/>
  <c r="N30" i="21"/>
  <c r="AG29" i="21"/>
  <c r="N29" i="21"/>
  <c r="AG28" i="21"/>
  <c r="AG27" i="21"/>
  <c r="N27" i="21"/>
  <c r="H27" i="21"/>
  <c r="AG26" i="21"/>
  <c r="N26" i="21"/>
  <c r="AG25" i="21"/>
  <c r="N25" i="21"/>
  <c r="AG24" i="21"/>
  <c r="N24" i="21"/>
  <c r="AG23" i="21"/>
  <c r="AG22" i="21"/>
  <c r="N22" i="21"/>
  <c r="H22" i="21"/>
  <c r="AG21" i="21"/>
  <c r="N21" i="21"/>
  <c r="AG20" i="21"/>
  <c r="N20" i="21"/>
  <c r="AG19" i="21"/>
  <c r="N19" i="21"/>
  <c r="N17" i="21"/>
  <c r="H17" i="21"/>
  <c r="AG16" i="21"/>
  <c r="N16" i="21"/>
  <c r="AG15" i="21"/>
  <c r="N15" i="21"/>
  <c r="AG14" i="21"/>
  <c r="N14" i="21"/>
  <c r="AG13" i="21"/>
  <c r="AG12" i="21"/>
  <c r="N12" i="21"/>
  <c r="H12" i="21"/>
  <c r="AG11" i="21"/>
  <c r="N11" i="21"/>
  <c r="AG10" i="21"/>
  <c r="N10" i="21"/>
  <c r="AG9" i="21"/>
  <c r="N9" i="21"/>
  <c r="N7" i="21"/>
  <c r="H7" i="21"/>
  <c r="N6" i="21"/>
  <c r="N5" i="21"/>
  <c r="N4" i="21"/>
  <c r="X3" i="21"/>
  <c r="N132" i="3"/>
  <c r="N131" i="3"/>
  <c r="N130" i="3"/>
  <c r="N129" i="3"/>
  <c r="N127" i="3"/>
  <c r="N126" i="3"/>
  <c r="N125" i="3"/>
  <c r="N124" i="3"/>
  <c r="N142" i="3"/>
  <c r="N141" i="3"/>
  <c r="N140" i="3"/>
  <c r="N139" i="3"/>
  <c r="N137" i="3"/>
  <c r="N136" i="3"/>
  <c r="N135" i="3"/>
  <c r="N134" i="3"/>
  <c r="N122" i="3"/>
  <c r="N121" i="3"/>
  <c r="N120" i="3"/>
  <c r="N119" i="3"/>
  <c r="N117" i="3"/>
  <c r="N116" i="3"/>
  <c r="N115" i="3"/>
  <c r="N114" i="3"/>
  <c r="N112" i="3"/>
  <c r="N111" i="3"/>
  <c r="N110" i="3"/>
  <c r="N109" i="3"/>
  <c r="N107" i="3"/>
  <c r="N106" i="3"/>
  <c r="N105" i="3"/>
  <c r="N104" i="3"/>
  <c r="N102" i="3"/>
  <c r="N101" i="3"/>
  <c r="N100" i="3"/>
  <c r="N99" i="3"/>
  <c r="N97" i="3"/>
  <c r="N96" i="3"/>
  <c r="N95" i="3"/>
  <c r="N94" i="3"/>
  <c r="N92" i="3"/>
  <c r="N91" i="3"/>
  <c r="N90" i="3"/>
  <c r="N89" i="3"/>
  <c r="AG9" i="3"/>
  <c r="AG10" i="3"/>
  <c r="AG11" i="3"/>
  <c r="AG12" i="3"/>
  <c r="AG14" i="3"/>
  <c r="AG15" i="3"/>
  <c r="AG16" i="3"/>
  <c r="AG19" i="3"/>
  <c r="AG20" i="3"/>
  <c r="AG21" i="3"/>
  <c r="AG22" i="3"/>
  <c r="AG24" i="3"/>
  <c r="AG25" i="3"/>
  <c r="AG26" i="3"/>
  <c r="AG27" i="3"/>
  <c r="AG29" i="3"/>
  <c r="AG30" i="3"/>
  <c r="N7" i="3"/>
  <c r="N6" i="3"/>
  <c r="N5" i="3"/>
  <c r="N4" i="3"/>
  <c r="N154" i="3"/>
  <c r="N152" i="3"/>
  <c r="N151" i="3"/>
  <c r="N150" i="3"/>
  <c r="N149" i="3"/>
  <c r="N147" i="3"/>
  <c r="N146" i="3"/>
  <c r="N145" i="3"/>
  <c r="N144" i="3"/>
  <c r="N87" i="3"/>
  <c r="N86" i="3"/>
  <c r="N85" i="3"/>
  <c r="N84" i="3"/>
  <c r="N82" i="3"/>
  <c r="N81" i="3"/>
  <c r="N80" i="3"/>
  <c r="N79" i="3"/>
  <c r="U6" i="19"/>
  <c r="U74" i="19" s="1"/>
  <c r="Q91" i="19"/>
  <c r="O77" i="19"/>
  <c r="L63" i="19"/>
  <c r="M63" i="19"/>
  <c r="N63" i="19"/>
  <c r="P63" i="19"/>
  <c r="R63" i="19"/>
  <c r="T63" i="19"/>
  <c r="T88" i="19" s="1"/>
  <c r="V63" i="19"/>
  <c r="V87" i="19"/>
  <c r="V85" i="19"/>
  <c r="V86" i="19"/>
  <c r="W63" i="19"/>
  <c r="W88" i="19" s="1"/>
  <c r="X63" i="19"/>
  <c r="X88" i="19" s="1"/>
  <c r="Y63" i="19"/>
  <c r="Y77" i="19" s="1"/>
  <c r="Z63" i="19"/>
  <c r="Z77" i="19" s="1"/>
  <c r="AA63" i="19"/>
  <c r="AA66" i="19" s="1"/>
  <c r="AB63" i="19"/>
  <c r="AB77" i="19" s="1"/>
  <c r="L64" i="19"/>
  <c r="M64" i="19"/>
  <c r="N64" i="19"/>
  <c r="P64" i="19"/>
  <c r="R64" i="19"/>
  <c r="T64" i="19"/>
  <c r="V64" i="19"/>
  <c r="W64" i="19"/>
  <c r="X64" i="19"/>
  <c r="Y64" i="19"/>
  <c r="Z64" i="19"/>
  <c r="AA64" i="19"/>
  <c r="AB64" i="19"/>
  <c r="L65" i="19"/>
  <c r="M65" i="19"/>
  <c r="N65" i="19"/>
  <c r="P65" i="19"/>
  <c r="R65" i="19"/>
  <c r="T65" i="19"/>
  <c r="V65" i="19"/>
  <c r="W65" i="19"/>
  <c r="X65" i="19"/>
  <c r="Y65" i="19"/>
  <c r="Z65" i="19"/>
  <c r="AA65" i="19"/>
  <c r="AB65" i="19"/>
  <c r="L66" i="19"/>
  <c r="M66" i="19"/>
  <c r="N66" i="19"/>
  <c r="P66" i="19"/>
  <c r="R66" i="19"/>
  <c r="L69" i="19"/>
  <c r="M69" i="19"/>
  <c r="N69" i="19"/>
  <c r="P69" i="19"/>
  <c r="R69" i="19"/>
  <c r="T69" i="19"/>
  <c r="V69" i="19"/>
  <c r="W69" i="19"/>
  <c r="X69" i="19"/>
  <c r="Y69" i="19"/>
  <c r="Z69" i="19"/>
  <c r="AA69" i="19"/>
  <c r="AB69" i="19"/>
  <c r="K74" i="19"/>
  <c r="L74" i="19"/>
  <c r="M74" i="19"/>
  <c r="N74" i="19"/>
  <c r="P74" i="19"/>
  <c r="R74" i="19"/>
  <c r="T74" i="19"/>
  <c r="V74" i="19"/>
  <c r="W74" i="19"/>
  <c r="X74" i="19"/>
  <c r="Y74" i="19"/>
  <c r="Z74" i="19"/>
  <c r="AA74" i="19"/>
  <c r="AB74" i="19"/>
  <c r="K75" i="19"/>
  <c r="L75" i="19"/>
  <c r="M75" i="19"/>
  <c r="N75" i="19"/>
  <c r="P75" i="19"/>
  <c r="R75" i="19"/>
  <c r="T75" i="19"/>
  <c r="V75" i="19"/>
  <c r="W75" i="19"/>
  <c r="X75" i="19"/>
  <c r="Y75" i="19"/>
  <c r="Z75" i="19"/>
  <c r="AA75" i="19"/>
  <c r="AB75" i="19"/>
  <c r="K76" i="19"/>
  <c r="L76" i="19"/>
  <c r="M76" i="19"/>
  <c r="N76" i="19"/>
  <c r="P76" i="19"/>
  <c r="R76" i="19"/>
  <c r="T76" i="19"/>
  <c r="V76" i="19"/>
  <c r="W76" i="19"/>
  <c r="X76" i="19"/>
  <c r="Y76" i="19"/>
  <c r="Z76" i="19"/>
  <c r="AA76" i="19"/>
  <c r="AB76" i="19"/>
  <c r="K77" i="19"/>
  <c r="L77" i="19"/>
  <c r="M77" i="19"/>
  <c r="N77" i="19"/>
  <c r="P77" i="19"/>
  <c r="R77" i="19"/>
  <c r="K80" i="19"/>
  <c r="L80" i="19"/>
  <c r="M80" i="19"/>
  <c r="N80" i="19"/>
  <c r="P80" i="19"/>
  <c r="R80" i="19"/>
  <c r="T80" i="19"/>
  <c r="V80" i="19"/>
  <c r="W80" i="19"/>
  <c r="X80" i="19"/>
  <c r="Y80" i="19"/>
  <c r="Z80" i="19"/>
  <c r="AA80" i="19"/>
  <c r="AB80" i="19"/>
  <c r="K85" i="19"/>
  <c r="L85" i="19"/>
  <c r="M85" i="19"/>
  <c r="N85" i="19"/>
  <c r="P85" i="19"/>
  <c r="R85" i="19"/>
  <c r="T85" i="19"/>
  <c r="W85" i="19"/>
  <c r="X85" i="19"/>
  <c r="Y85" i="19"/>
  <c r="Z85" i="19"/>
  <c r="AA85" i="19"/>
  <c r="AB85" i="19"/>
  <c r="K86" i="19"/>
  <c r="L86" i="19"/>
  <c r="M86" i="19"/>
  <c r="N86" i="19"/>
  <c r="P86" i="19"/>
  <c r="R86" i="19"/>
  <c r="T86" i="19"/>
  <c r="W86" i="19"/>
  <c r="X86" i="19"/>
  <c r="Y86" i="19"/>
  <c r="Z86" i="19"/>
  <c r="AA86" i="19"/>
  <c r="AB86" i="19"/>
  <c r="K87" i="19"/>
  <c r="L87" i="19"/>
  <c r="M87" i="19"/>
  <c r="N87" i="19"/>
  <c r="P87" i="19"/>
  <c r="R87" i="19"/>
  <c r="T87" i="19"/>
  <c r="W87" i="19"/>
  <c r="X87" i="19"/>
  <c r="Y87" i="19"/>
  <c r="Z87" i="19"/>
  <c r="AA87" i="19"/>
  <c r="AB87" i="19"/>
  <c r="K88" i="19"/>
  <c r="L88" i="19"/>
  <c r="M88" i="19"/>
  <c r="N88" i="19"/>
  <c r="P88" i="19"/>
  <c r="R88" i="19"/>
  <c r="K91" i="19"/>
  <c r="L91" i="19"/>
  <c r="M91" i="19"/>
  <c r="N91" i="19"/>
  <c r="P91" i="19"/>
  <c r="R91" i="19"/>
  <c r="T91" i="19"/>
  <c r="V91" i="19"/>
  <c r="W91" i="19"/>
  <c r="X91" i="19"/>
  <c r="Y91" i="19"/>
  <c r="Z91" i="19"/>
  <c r="AA91" i="19"/>
  <c r="AB91" i="19"/>
  <c r="AE102" i="18"/>
  <c r="AG90" i="18"/>
  <c r="AK102" i="18"/>
  <c r="AD92" i="18"/>
  <c r="AH96" i="18"/>
  <c r="AN108" i="18"/>
  <c r="AK79" i="18"/>
  <c r="AN105" i="18"/>
  <c r="AM69" i="18"/>
  <c r="AA66" i="18"/>
  <c r="AB66" i="18"/>
  <c r="AC66" i="18"/>
  <c r="AF66" i="18"/>
  <c r="AI66" i="18"/>
  <c r="AL66" i="18"/>
  <c r="AO66" i="18"/>
  <c r="AP66" i="18"/>
  <c r="AQ66" i="18"/>
  <c r="AR66" i="18"/>
  <c r="AS66" i="18"/>
  <c r="AT66" i="18"/>
  <c r="AU66" i="18"/>
  <c r="AV66" i="18"/>
  <c r="AV67" i="18"/>
  <c r="AV68" i="18"/>
  <c r="AV69" i="18"/>
  <c r="AW66" i="18"/>
  <c r="AX66" i="18"/>
  <c r="AA67" i="18"/>
  <c r="AB67" i="18"/>
  <c r="AC67" i="18"/>
  <c r="AF67" i="18"/>
  <c r="AI67" i="18"/>
  <c r="AL67" i="18"/>
  <c r="AO67" i="18"/>
  <c r="AP67" i="18"/>
  <c r="AQ67" i="18"/>
  <c r="AR67" i="18"/>
  <c r="AS67" i="18"/>
  <c r="AT67" i="18"/>
  <c r="AU67" i="18"/>
  <c r="AW67" i="18"/>
  <c r="AX67" i="18"/>
  <c r="AA68" i="18"/>
  <c r="AB68" i="18"/>
  <c r="AC68" i="18"/>
  <c r="AF68" i="18"/>
  <c r="AI68" i="18"/>
  <c r="AL68" i="18"/>
  <c r="AO68" i="18"/>
  <c r="AP68" i="18"/>
  <c r="AQ68" i="18"/>
  <c r="AR68" i="18"/>
  <c r="AS68" i="18"/>
  <c r="AT68" i="18"/>
  <c r="AU68" i="18"/>
  <c r="AW68" i="18"/>
  <c r="AX68" i="18"/>
  <c r="AA69" i="18"/>
  <c r="AB69" i="18"/>
  <c r="AC69" i="18"/>
  <c r="AF69" i="18"/>
  <c r="AI69" i="18"/>
  <c r="AL69" i="18"/>
  <c r="AO69" i="18"/>
  <c r="AP69" i="18"/>
  <c r="AQ69" i="18"/>
  <c r="AR69" i="18"/>
  <c r="AS69" i="18"/>
  <c r="AT69" i="18"/>
  <c r="AU69" i="18"/>
  <c r="AW69" i="18"/>
  <c r="AX69" i="18"/>
  <c r="AA72" i="18"/>
  <c r="AB72" i="18"/>
  <c r="AC72" i="18"/>
  <c r="AF72" i="18"/>
  <c r="AI72" i="18"/>
  <c r="AL72" i="18"/>
  <c r="AO72" i="18"/>
  <c r="AP72" i="18"/>
  <c r="AQ72" i="18"/>
  <c r="AR72" i="18"/>
  <c r="AS72" i="18"/>
  <c r="AT72" i="18"/>
  <c r="AU72" i="18"/>
  <c r="AV72" i="18"/>
  <c r="AW72" i="18"/>
  <c r="AX72" i="18"/>
  <c r="AA78" i="18"/>
  <c r="AB78" i="18"/>
  <c r="AC78" i="18"/>
  <c r="AF78" i="18"/>
  <c r="AI78" i="18"/>
  <c r="AL78" i="18"/>
  <c r="AO78" i="18"/>
  <c r="AP78" i="18"/>
  <c r="AQ78" i="18"/>
  <c r="AR78" i="18"/>
  <c r="AS78" i="18"/>
  <c r="AT78" i="18"/>
  <c r="AU78" i="18"/>
  <c r="AV78" i="18"/>
  <c r="AW78" i="18"/>
  <c r="AX78" i="18"/>
  <c r="AA79" i="18"/>
  <c r="AB79" i="18"/>
  <c r="AC79" i="18"/>
  <c r="AF79" i="18"/>
  <c r="AI79" i="18"/>
  <c r="AL79" i="18"/>
  <c r="AO79" i="18"/>
  <c r="AP79" i="18"/>
  <c r="AQ79" i="18"/>
  <c r="AR79" i="18"/>
  <c r="AS79" i="18"/>
  <c r="AT79" i="18"/>
  <c r="AU79" i="18"/>
  <c r="AV79" i="18"/>
  <c r="AW79" i="18"/>
  <c r="AX79" i="18"/>
  <c r="AA80" i="18"/>
  <c r="AB80" i="18"/>
  <c r="AC80" i="18"/>
  <c r="AF80" i="18"/>
  <c r="AI80" i="18"/>
  <c r="AL80" i="18"/>
  <c r="AL81" i="18"/>
  <c r="AO80" i="18"/>
  <c r="AP80" i="18"/>
  <c r="AQ80" i="18"/>
  <c r="AQ81" i="18"/>
  <c r="AR80" i="18"/>
  <c r="AS80" i="18"/>
  <c r="AT80" i="18"/>
  <c r="AU80" i="18"/>
  <c r="AV80" i="18"/>
  <c r="AW80" i="18"/>
  <c r="AW81" i="18"/>
  <c r="AX80" i="18"/>
  <c r="AA81" i="18"/>
  <c r="AB81" i="18"/>
  <c r="AC81" i="18"/>
  <c r="AF81" i="18"/>
  <c r="AI81" i="18"/>
  <c r="AO81" i="18"/>
  <c r="AP81" i="18"/>
  <c r="AR81" i="18"/>
  <c r="AS81" i="18"/>
  <c r="AT81" i="18"/>
  <c r="AU81" i="18"/>
  <c r="AV81" i="18"/>
  <c r="AX81" i="18"/>
  <c r="AA84" i="18"/>
  <c r="AB84" i="18"/>
  <c r="AC84" i="18"/>
  <c r="AF84" i="18"/>
  <c r="AI84" i="18"/>
  <c r="AL84" i="18"/>
  <c r="AO84" i="18"/>
  <c r="AP84" i="18"/>
  <c r="AQ84" i="18"/>
  <c r="AR84" i="18"/>
  <c r="AS84" i="18"/>
  <c r="AT84" i="18"/>
  <c r="AU84" i="18"/>
  <c r="AV84" i="18"/>
  <c r="AW84" i="18"/>
  <c r="AX84" i="18"/>
  <c r="AA90" i="18"/>
  <c r="AB90" i="18"/>
  <c r="AC90" i="18"/>
  <c r="AF90" i="18"/>
  <c r="AI90" i="18"/>
  <c r="AL90" i="18"/>
  <c r="AO90" i="18"/>
  <c r="AP90" i="18"/>
  <c r="AQ90" i="18"/>
  <c r="AR90" i="18"/>
  <c r="AS90" i="18"/>
  <c r="AT90" i="18"/>
  <c r="AU90" i="18"/>
  <c r="AV90" i="18"/>
  <c r="AW90" i="18"/>
  <c r="AX90" i="18"/>
  <c r="AA91" i="18"/>
  <c r="AB91" i="18"/>
  <c r="AC91" i="18"/>
  <c r="AF91" i="18"/>
  <c r="AI91" i="18"/>
  <c r="AL91" i="18"/>
  <c r="AO91" i="18"/>
  <c r="AP91" i="18"/>
  <c r="AQ91" i="18"/>
  <c r="AR91" i="18"/>
  <c r="AS91" i="18"/>
  <c r="AT91" i="18"/>
  <c r="AU91" i="18"/>
  <c r="AV91" i="18"/>
  <c r="AW91" i="18"/>
  <c r="AX91" i="18"/>
  <c r="AA92" i="18"/>
  <c r="AB92" i="18"/>
  <c r="AC92" i="18"/>
  <c r="AF92" i="18"/>
  <c r="AI92" i="18"/>
  <c r="AL92" i="18"/>
  <c r="AO92" i="18"/>
  <c r="AP92" i="18"/>
  <c r="AQ92" i="18"/>
  <c r="AR92" i="18"/>
  <c r="AS92" i="18"/>
  <c r="AT92" i="18"/>
  <c r="AU92" i="18"/>
  <c r="AV92" i="18"/>
  <c r="AW92" i="18"/>
  <c r="AX92" i="18"/>
  <c r="AA93" i="18"/>
  <c r="AB93" i="18"/>
  <c r="AC93" i="18"/>
  <c r="AF93" i="18"/>
  <c r="AI93" i="18"/>
  <c r="AL93" i="18"/>
  <c r="AO93" i="18"/>
  <c r="AP93" i="18"/>
  <c r="AQ93" i="18"/>
  <c r="AR93" i="18"/>
  <c r="AS93" i="18"/>
  <c r="AT93" i="18"/>
  <c r="AU93" i="18"/>
  <c r="AV93" i="18"/>
  <c r="AW93" i="18"/>
  <c r="AX93" i="18"/>
  <c r="AA96" i="18"/>
  <c r="AB96" i="18"/>
  <c r="AC96" i="18"/>
  <c r="AF96" i="18"/>
  <c r="AI96" i="18"/>
  <c r="AL96" i="18"/>
  <c r="AO96" i="18"/>
  <c r="AP96" i="18"/>
  <c r="AQ96" i="18"/>
  <c r="AR96" i="18"/>
  <c r="AS96" i="18"/>
  <c r="AT96" i="18"/>
  <c r="AU96" i="18"/>
  <c r="AV96" i="18"/>
  <c r="AW96" i="18"/>
  <c r="AX96" i="18"/>
  <c r="AA102" i="18"/>
  <c r="AB102" i="18"/>
  <c r="AC102" i="18"/>
  <c r="AF102" i="18"/>
  <c r="AI102" i="18"/>
  <c r="AL102" i="18"/>
  <c r="AO102" i="18"/>
  <c r="AP102" i="18"/>
  <c r="AQ102" i="18"/>
  <c r="AR102" i="18"/>
  <c r="AS102" i="18"/>
  <c r="AT102" i="18"/>
  <c r="AU102" i="18"/>
  <c r="AV102" i="18"/>
  <c r="AW102" i="18"/>
  <c r="AX102" i="18"/>
  <c r="AA103" i="18"/>
  <c r="AB103" i="18"/>
  <c r="AC103" i="18"/>
  <c r="AF103" i="18"/>
  <c r="AI103" i="18"/>
  <c r="AL103" i="18"/>
  <c r="AO103" i="18"/>
  <c r="AP103" i="18"/>
  <c r="AQ103" i="18"/>
  <c r="AR103" i="18"/>
  <c r="AS103" i="18"/>
  <c r="AT103" i="18"/>
  <c r="AU103" i="18"/>
  <c r="AV103" i="18"/>
  <c r="AW103" i="18"/>
  <c r="AX103" i="18"/>
  <c r="AA104" i="18"/>
  <c r="AB104" i="18"/>
  <c r="AC104" i="18"/>
  <c r="AF104" i="18"/>
  <c r="AI104" i="18"/>
  <c r="AL104" i="18"/>
  <c r="AO104" i="18"/>
  <c r="AP104" i="18"/>
  <c r="AQ104" i="18"/>
  <c r="AR104" i="18"/>
  <c r="AS104" i="18"/>
  <c r="AT104" i="18"/>
  <c r="AU104" i="18"/>
  <c r="AV104" i="18"/>
  <c r="AW104" i="18"/>
  <c r="AX104" i="18"/>
  <c r="AA105" i="18"/>
  <c r="AB105" i="18"/>
  <c r="AC105" i="18"/>
  <c r="AF105" i="18"/>
  <c r="AI105" i="18"/>
  <c r="AL105" i="18"/>
  <c r="AO105" i="18"/>
  <c r="AP105" i="18"/>
  <c r="AQ105" i="18"/>
  <c r="AR105" i="18"/>
  <c r="AS105" i="18"/>
  <c r="AS110" i="18" s="1"/>
  <c r="AT105" i="18"/>
  <c r="AU105" i="18"/>
  <c r="AV105" i="18"/>
  <c r="AW105" i="18"/>
  <c r="AX105" i="18"/>
  <c r="AA108" i="18"/>
  <c r="AB108" i="18"/>
  <c r="AC108" i="18"/>
  <c r="AF108" i="18"/>
  <c r="AI108" i="18"/>
  <c r="AL108" i="18"/>
  <c r="AO108" i="18"/>
  <c r="AP108" i="18"/>
  <c r="AQ108" i="18"/>
  <c r="AR108" i="18"/>
  <c r="AS108" i="18"/>
  <c r="AT108" i="18"/>
  <c r="AU108" i="18"/>
  <c r="AV108" i="18"/>
  <c r="AW108" i="18"/>
  <c r="AX108" i="18"/>
  <c r="AI110" i="18"/>
  <c r="N9" i="3"/>
  <c r="N10" i="3"/>
  <c r="N11" i="3"/>
  <c r="N12" i="3"/>
  <c r="N14" i="3"/>
  <c r="N15" i="3"/>
  <c r="N16" i="3"/>
  <c r="N17" i="3"/>
  <c r="N19" i="3"/>
  <c r="N20" i="3"/>
  <c r="N21" i="3"/>
  <c r="N22" i="3"/>
  <c r="N24" i="3"/>
  <c r="N25" i="3"/>
  <c r="N26" i="3"/>
  <c r="N27" i="3"/>
  <c r="N29" i="3"/>
  <c r="N30" i="3"/>
  <c r="N31" i="3"/>
  <c r="N32" i="3"/>
  <c r="N34" i="3"/>
  <c r="AG34" i="3"/>
  <c r="N35" i="3"/>
  <c r="AG35" i="3"/>
  <c r="N36" i="3"/>
  <c r="AG36" i="3"/>
  <c r="N37" i="3"/>
  <c r="AG37" i="3"/>
  <c r="N39" i="3"/>
  <c r="AG39" i="3"/>
  <c r="N40" i="3"/>
  <c r="N41" i="3"/>
  <c r="N42" i="3"/>
  <c r="N44" i="3"/>
  <c r="N45" i="3"/>
  <c r="N46" i="3"/>
  <c r="N47" i="3"/>
  <c r="N49" i="3"/>
  <c r="N50" i="3"/>
  <c r="N51" i="3"/>
  <c r="N52" i="3"/>
  <c r="N54" i="3"/>
  <c r="N55" i="3"/>
  <c r="N56" i="3"/>
  <c r="N57" i="3"/>
  <c r="N59" i="3"/>
  <c r="N60" i="3"/>
  <c r="N61" i="3"/>
  <c r="N62" i="3"/>
  <c r="N64" i="3"/>
  <c r="N65" i="3"/>
  <c r="N66" i="3"/>
  <c r="N67" i="3"/>
  <c r="N69" i="3"/>
  <c r="N70" i="3"/>
  <c r="N71" i="3"/>
  <c r="N72" i="3"/>
  <c r="N74" i="3"/>
  <c r="N75" i="3"/>
  <c r="N76" i="3"/>
  <c r="N77" i="3"/>
  <c r="AK108" i="18"/>
  <c r="AK96" i="18"/>
  <c r="AK91" i="18"/>
  <c r="AK84" i="18"/>
  <c r="AK78" i="18"/>
  <c r="O80" i="19"/>
  <c r="AE90" i="18"/>
  <c r="O91" i="19"/>
  <c r="Q74" i="19"/>
  <c r="AH108" i="18"/>
  <c r="AH104" i="18"/>
  <c r="AH102" i="18"/>
  <c r="AH91" i="18"/>
  <c r="AH90" i="18"/>
  <c r="AH84" i="18"/>
  <c r="AK67" i="18"/>
  <c r="AD78" i="18"/>
  <c r="AJ81" i="18"/>
  <c r="AJ66" i="18"/>
  <c r="AN81" i="18"/>
  <c r="AG79" i="18"/>
  <c r="AD102" i="18"/>
  <c r="AN68" i="18"/>
  <c r="AJ92" i="18"/>
  <c r="AE104" i="18"/>
  <c r="AE67" i="18"/>
  <c r="AH78" i="18"/>
  <c r="AE81" i="18"/>
  <c r="AD84" i="18"/>
  <c r="AE108" i="18"/>
  <c r="AM108" i="18"/>
  <c r="AE72" i="18"/>
  <c r="AH80" i="18"/>
  <c r="AH68" i="18"/>
  <c r="AM81" i="18"/>
  <c r="AE68" i="18"/>
  <c r="AE80" i="18"/>
  <c r="AN69" i="18"/>
  <c r="AK69" i="18"/>
  <c r="AJ68" i="18"/>
  <c r="S80" i="19"/>
  <c r="AK104" i="18"/>
  <c r="AK80" i="18"/>
  <c r="AL98" i="18"/>
  <c r="J61" i="3" a="1"/>
  <c r="J71" i="3" a="1"/>
  <c r="J31" i="3" a="1"/>
  <c r="J36" i="3" a="1"/>
  <c r="J26" i="3" a="1"/>
  <c r="W26" i="21" a="1"/>
  <c r="J66" i="3" a="1"/>
  <c r="J101" i="3" a="1"/>
  <c r="J106" i="3" a="1"/>
  <c r="J91" i="3" a="1"/>
  <c r="J116" i="3" a="1"/>
  <c r="J51" i="3" a="1"/>
  <c r="W6" i="21" a="1"/>
  <c r="J6" i="3" a="1"/>
  <c r="J131" i="3" a="1"/>
  <c r="AJ104" i="18"/>
  <c r="AJ105" i="18"/>
  <c r="AJ69" i="18"/>
  <c r="AJ93" i="18"/>
  <c r="AJ90" i="18"/>
  <c r="AJ91" i="18"/>
  <c r="AM80" i="18"/>
  <c r="AM68" i="18"/>
  <c r="AM104" i="18"/>
  <c r="AJ78" i="18"/>
  <c r="AJ108" i="18"/>
  <c r="AM90" i="18"/>
  <c r="AM96" i="18"/>
  <c r="AM84" i="18"/>
  <c r="AM78" i="18"/>
  <c r="AM72" i="18"/>
  <c r="AJ79" i="18"/>
  <c r="S64" i="19"/>
  <c r="AJ84" i="18"/>
  <c r="AD96" i="18"/>
  <c r="AJ103" i="18"/>
  <c r="AG104" i="18"/>
  <c r="Q77" i="19"/>
  <c r="AM66" i="18"/>
  <c r="Q88" i="19"/>
  <c r="AD79" i="18"/>
  <c r="AG67" i="18"/>
  <c r="AD91" i="18"/>
  <c r="AD72" i="18"/>
  <c r="AD103" i="18"/>
  <c r="AD104" i="18"/>
  <c r="AG108" i="18"/>
  <c r="AG93" i="18"/>
  <c r="AG84" i="18"/>
  <c r="AG102" i="18"/>
  <c r="AG72" i="18"/>
  <c r="AG105" i="18"/>
  <c r="AG92" i="18"/>
  <c r="AG91" i="18"/>
  <c r="AG66" i="18"/>
  <c r="AG103" i="18"/>
  <c r="AG96" i="18"/>
  <c r="O86" i="19"/>
  <c r="O74" i="19"/>
  <c r="O85" i="19"/>
  <c r="Q65" i="19"/>
  <c r="S69" i="19"/>
  <c r="S85" i="19"/>
  <c r="S91" i="19"/>
  <c r="S63" i="19"/>
  <c r="S88" i="19" s="1"/>
  <c r="U87" i="19"/>
  <c r="S74" i="19"/>
  <c r="AM92" i="18"/>
  <c r="AG69" i="18"/>
  <c r="Q63" i="19"/>
  <c r="AG81" i="18"/>
  <c r="AJ67" i="18"/>
  <c r="Q80" i="19"/>
  <c r="O88" i="19"/>
  <c r="AM91" i="18"/>
  <c r="AD66" i="18"/>
  <c r="AD67" i="18"/>
  <c r="AD68" i="18"/>
  <c r="AD69" i="18"/>
  <c r="AM105" i="18"/>
  <c r="AJ102" i="18"/>
  <c r="AJ72" i="18"/>
  <c r="S75" i="19"/>
  <c r="S65" i="19"/>
  <c r="S86" i="19"/>
  <c r="S76" i="19"/>
  <c r="S87" i="19"/>
  <c r="U75" i="19"/>
  <c r="U64" i="19"/>
  <c r="O65" i="19"/>
  <c r="O87" i="19"/>
  <c r="O63" i="19"/>
  <c r="O66" i="19"/>
  <c r="O69" i="19"/>
  <c r="O64" i="19"/>
  <c r="AD80" i="18"/>
  <c r="AN102" i="18"/>
  <c r="AH79" i="18"/>
  <c r="AE96" i="18"/>
  <c r="AE91" i="18"/>
  <c r="AE78" i="18"/>
  <c r="AE103" i="18"/>
  <c r="AM93" i="18"/>
  <c r="AN92" i="18"/>
  <c r="AN78" i="18"/>
  <c r="AN80" i="18"/>
  <c r="AN79" i="18"/>
  <c r="AJ96" i="18"/>
  <c r="U65" i="19"/>
  <c r="O75" i="19"/>
  <c r="O76" i="19"/>
  <c r="U86" i="19"/>
  <c r="AK105" i="18"/>
  <c r="AK93" i="18"/>
  <c r="AK81" i="18"/>
  <c r="AN96" i="18"/>
  <c r="AN93" i="18"/>
  <c r="AN104" i="18"/>
  <c r="AH72" i="18"/>
  <c r="AK68" i="18"/>
  <c r="AK103" i="18"/>
  <c r="AK92" i="18"/>
  <c r="AN66" i="18"/>
  <c r="AN84" i="18"/>
  <c r="AN90" i="18"/>
  <c r="AN91" i="18"/>
  <c r="AN72" i="18"/>
  <c r="AN103" i="18"/>
  <c r="AN67" i="18"/>
  <c r="AH103" i="18"/>
  <c r="AH92" i="18"/>
  <c r="AH105" i="18"/>
  <c r="AH93" i="18"/>
  <c r="AK90" i="18"/>
  <c r="AK72" i="18"/>
  <c r="AK66" i="18"/>
  <c r="AE69" i="18"/>
  <c r="AE93" i="18"/>
  <c r="AH67" i="18"/>
  <c r="AE66" i="18"/>
  <c r="AE105" i="18"/>
  <c r="AH81" i="18"/>
  <c r="AH66" i="18"/>
  <c r="AE84" i="18"/>
  <c r="AE92" i="18"/>
  <c r="AE79" i="18"/>
  <c r="AH69" i="18"/>
  <c r="U76" i="19"/>
  <c r="Q87" i="19"/>
  <c r="Q85" i="19"/>
  <c r="Q75" i="19"/>
  <c r="Q76" i="19"/>
  <c r="Q86" i="19"/>
  <c r="Q69" i="19"/>
  <c r="Q66" i="19"/>
  <c r="Q64" i="19"/>
  <c r="AJ80" i="18"/>
  <c r="AM102" i="18"/>
  <c r="AM67" i="18"/>
  <c r="AM79" i="18"/>
  <c r="AM103" i="18"/>
  <c r="AD105" i="18"/>
  <c r="AD81" i="18"/>
  <c r="AG78" i="18"/>
  <c r="AG80" i="18"/>
  <c r="AD108" i="18"/>
  <c r="AD93" i="18"/>
  <c r="AD90" i="18"/>
  <c r="AG68" i="18"/>
  <c r="J61" i="29" a="1"/>
  <c r="J61" i="29" s="1"/>
  <c r="J66" i="29" a="1"/>
  <c r="J66" i="29" s="1"/>
  <c r="P44" i="21"/>
  <c r="AE19" i="3"/>
  <c r="AE34" i="3"/>
  <c r="P25" i="21"/>
  <c r="J90" i="21"/>
  <c r="J96" i="21"/>
  <c r="AO110" i="18" l="1"/>
  <c r="AO97" i="18"/>
  <c r="AA110" i="18"/>
  <c r="AK97" i="18"/>
  <c r="AR98" i="18"/>
  <c r="H147" i="21"/>
  <c r="AV98" i="18"/>
  <c r="K82" i="19"/>
  <c r="Y82" i="19"/>
  <c r="AB97" i="18"/>
  <c r="AS98" i="18"/>
  <c r="AV86" i="18"/>
  <c r="AR85" i="18"/>
  <c r="AX86" i="18"/>
  <c r="R70" i="19"/>
  <c r="AJ97" i="18"/>
  <c r="AK110" i="18"/>
  <c r="AU98" i="18"/>
  <c r="AP86" i="18"/>
  <c r="AQ73" i="18"/>
  <c r="AA88" i="19"/>
  <c r="AA93" i="19" s="1"/>
  <c r="AP109" i="18"/>
  <c r="AD110" i="18"/>
  <c r="AU86" i="18"/>
  <c r="AO73" i="18"/>
  <c r="AI97" i="18"/>
  <c r="AA85" i="18"/>
  <c r="AA86" i="18" s="1"/>
  <c r="Z82" i="19"/>
  <c r="AR109" i="18"/>
  <c r="AB109" i="18"/>
  <c r="AJ86" i="18"/>
  <c r="AE98" i="18"/>
  <c r="U69" i="19"/>
  <c r="AQ98" i="18"/>
  <c r="AQ97" i="18"/>
  <c r="AI85" i="18"/>
  <c r="AI86" i="18" s="1"/>
  <c r="X93" i="19"/>
  <c r="AL110" i="18"/>
  <c r="AI98" i="18"/>
  <c r="O82" i="19"/>
  <c r="AN85" i="18"/>
  <c r="AH85" i="18"/>
  <c r="AH86" i="18" s="1"/>
  <c r="U91" i="19"/>
  <c r="U63" i="19"/>
  <c r="N70" i="19"/>
  <c r="AR110" i="18"/>
  <c r="AA97" i="18"/>
  <c r="AT110" i="18"/>
  <c r="AS73" i="18"/>
  <c r="M93" i="19"/>
  <c r="W92" i="19"/>
  <c r="AU85" i="18"/>
  <c r="AX110" i="18"/>
  <c r="AW98" i="18"/>
  <c r="AU74" i="18"/>
  <c r="H142" i="21"/>
  <c r="AM98" i="18"/>
  <c r="AH73" i="18"/>
  <c r="AH74" i="18" s="1"/>
  <c r="AQ85" i="18"/>
  <c r="L96" i="33"/>
  <c r="V77" i="19"/>
  <c r="V82" i="19" s="1"/>
  <c r="V88" i="19"/>
  <c r="V92" i="19" s="1"/>
  <c r="V66" i="19"/>
  <c r="V71" i="19" s="1"/>
  <c r="Q93" i="19"/>
  <c r="AE109" i="18"/>
  <c r="AX109" i="18"/>
  <c r="AO98" i="18"/>
  <c r="AC98" i="18"/>
  <c r="AW97" i="18"/>
  <c r="AS97" i="18"/>
  <c r="AC97" i="18"/>
  <c r="AC85" i="18"/>
  <c r="AC86" i="18" s="1"/>
  <c r="Z66" i="19"/>
  <c r="Z70" i="19" s="1"/>
  <c r="Z88" i="19"/>
  <c r="Z93" i="19" s="1"/>
  <c r="AM74" i="18"/>
  <c r="S93" i="19"/>
  <c r="AK73" i="18"/>
  <c r="AG109" i="18"/>
  <c r="Q82" i="19"/>
  <c r="AW110" i="18"/>
  <c r="AW109" i="18"/>
  <c r="Q70" i="19"/>
  <c r="AV110" i="18"/>
  <c r="AL86" i="18"/>
  <c r="AB85" i="18"/>
  <c r="AB86" i="18" s="1"/>
  <c r="AU73" i="18"/>
  <c r="AI73" i="18"/>
  <c r="AI74" i="18" s="1"/>
  <c r="AP73" i="18"/>
  <c r="AF73" i="18"/>
  <c r="AF74" i="18" s="1"/>
  <c r="AX73" i="18"/>
  <c r="AW73" i="18"/>
  <c r="AR73" i="18"/>
  <c r="AB73" i="18"/>
  <c r="AB74" i="18" s="1"/>
  <c r="N93" i="19"/>
  <c r="P71" i="19"/>
  <c r="R71" i="19"/>
  <c r="R41" i="33"/>
  <c r="AM73" i="18"/>
  <c r="AV109" i="18"/>
  <c r="AW86" i="18"/>
  <c r="R82" i="19"/>
  <c r="N81" i="19"/>
  <c r="M71" i="19"/>
  <c r="N71" i="19"/>
  <c r="AB82" i="19"/>
  <c r="H137" i="21"/>
  <c r="AH109" i="18"/>
  <c r="AK98" i="18"/>
  <c r="AB110" i="18"/>
  <c r="Z81" i="19"/>
  <c r="AD97" i="18"/>
  <c r="Q71" i="19"/>
  <c r="AH98" i="18"/>
  <c r="AN110" i="18"/>
  <c r="U80" i="19"/>
  <c r="AJ73" i="18"/>
  <c r="U85" i="19"/>
  <c r="AD109" i="18"/>
  <c r="AU110" i="18"/>
  <c r="AQ110" i="18"/>
  <c r="AU109" i="18"/>
  <c r="AQ109" i="18"/>
  <c r="AI109" i="18"/>
  <c r="AX98" i="18"/>
  <c r="AT98" i="18"/>
  <c r="AP98" i="18"/>
  <c r="AX85" i="18"/>
  <c r="AS85" i="18"/>
  <c r="P82" i="19"/>
  <c r="AA71" i="19"/>
  <c r="P70" i="19"/>
  <c r="H152" i="21"/>
  <c r="L46" i="33"/>
  <c r="J87" i="33"/>
  <c r="L106" i="33"/>
  <c r="R131" i="33"/>
  <c r="J132" i="33"/>
  <c r="H57" i="33"/>
  <c r="J42" i="33"/>
  <c r="H37" i="33"/>
  <c r="H32" i="33"/>
  <c r="H17" i="33"/>
  <c r="J97" i="33"/>
  <c r="H52" i="33"/>
  <c r="H67" i="33"/>
  <c r="J52" i="33"/>
  <c r="H47" i="33"/>
  <c r="H97" i="33"/>
  <c r="H87" i="33"/>
  <c r="H42" i="33"/>
  <c r="J67" i="33"/>
  <c r="H117" i="33"/>
  <c r="J77" i="33"/>
  <c r="J122" i="33"/>
  <c r="J11" i="3" a="1"/>
  <c r="J11" i="3" s="1"/>
  <c r="J41" i="3" a="1"/>
  <c r="J41" i="3" s="1"/>
  <c r="W36" i="21" a="1"/>
  <c r="W36" i="21" s="1"/>
  <c r="J56" i="3" a="1"/>
  <c r="J56" i="3" s="1"/>
  <c r="J46" i="3" a="1"/>
  <c r="J46" i="3" s="1"/>
  <c r="J126" i="3" a="1"/>
  <c r="J126" i="3" s="1"/>
  <c r="W31" i="21" a="1"/>
  <c r="W31" i="21" s="1"/>
  <c r="J21" i="3" a="1"/>
  <c r="J21" i="3" s="1"/>
  <c r="J86" i="3" a="1"/>
  <c r="J86" i="3" s="1"/>
  <c r="J57" i="33"/>
  <c r="J22" i="33"/>
  <c r="J122" i="36"/>
  <c r="L122" i="36" s="1"/>
  <c r="L121" i="36"/>
  <c r="J52" i="36"/>
  <c r="L52" i="36" s="1"/>
  <c r="L51" i="36"/>
  <c r="L76" i="36"/>
  <c r="J77" i="36"/>
  <c r="L77" i="36" s="1"/>
  <c r="L6" i="36"/>
  <c r="J7" i="36"/>
  <c r="J136" i="36"/>
  <c r="J82" i="36"/>
  <c r="L82" i="36" s="1"/>
  <c r="L81" i="36"/>
  <c r="L106" i="36"/>
  <c r="H107" i="36"/>
  <c r="J62" i="36"/>
  <c r="J146" i="36"/>
  <c r="L61" i="36"/>
  <c r="H146" i="36"/>
  <c r="H147" i="36" s="1"/>
  <c r="H62" i="36"/>
  <c r="J141" i="36"/>
  <c r="L16" i="36"/>
  <c r="J17" i="36"/>
  <c r="L96" i="36"/>
  <c r="J97" i="36"/>
  <c r="L97" i="36" s="1"/>
  <c r="L46" i="36"/>
  <c r="H47" i="36"/>
  <c r="L47" i="36" s="1"/>
  <c r="P32" i="36"/>
  <c r="R31" i="36"/>
  <c r="R56" i="36"/>
  <c r="P57" i="36"/>
  <c r="R57" i="36" s="1"/>
  <c r="P12" i="36"/>
  <c r="R11" i="36"/>
  <c r="R116" i="36"/>
  <c r="P117" i="36"/>
  <c r="L86" i="36"/>
  <c r="J87" i="36"/>
  <c r="L87" i="36" s="1"/>
  <c r="R26" i="36"/>
  <c r="P27" i="36"/>
  <c r="J112" i="36"/>
  <c r="L112" i="36" s="1"/>
  <c r="L111" i="36"/>
  <c r="L36" i="36"/>
  <c r="H37" i="36"/>
  <c r="L37" i="36" s="1"/>
  <c r="L126" i="36"/>
  <c r="H127" i="36"/>
  <c r="P132" i="36"/>
  <c r="R131" i="36"/>
  <c r="R66" i="36"/>
  <c r="P67" i="36"/>
  <c r="P52" i="36"/>
  <c r="R51" i="36"/>
  <c r="H136" i="36"/>
  <c r="H137" i="36" s="1"/>
  <c r="H7" i="36"/>
  <c r="L21" i="36"/>
  <c r="J22" i="36"/>
  <c r="L22" i="36" s="1"/>
  <c r="R96" i="36"/>
  <c r="P97" i="36"/>
  <c r="J72" i="36"/>
  <c r="L72" i="36" s="1"/>
  <c r="L71" i="36"/>
  <c r="J32" i="36"/>
  <c r="L32" i="36" s="1"/>
  <c r="L31" i="36"/>
  <c r="L56" i="36"/>
  <c r="H57" i="36"/>
  <c r="L57" i="36" s="1"/>
  <c r="P87" i="36"/>
  <c r="R86" i="36"/>
  <c r="L26" i="36"/>
  <c r="J27" i="36"/>
  <c r="L27" i="36" s="1"/>
  <c r="J102" i="36"/>
  <c r="L102" i="36" s="1"/>
  <c r="L101" i="36"/>
  <c r="P37" i="36"/>
  <c r="R37" i="36" s="1"/>
  <c r="R36" i="36"/>
  <c r="R126" i="36"/>
  <c r="J127" i="36"/>
  <c r="P122" i="36"/>
  <c r="R121" i="36"/>
  <c r="R76" i="36"/>
  <c r="P77" i="36"/>
  <c r="R81" i="36"/>
  <c r="P82" i="36"/>
  <c r="R106" i="36"/>
  <c r="J107" i="36"/>
  <c r="P22" i="36"/>
  <c r="R21" i="36"/>
  <c r="L91" i="36"/>
  <c r="J151" i="36"/>
  <c r="J92" i="36"/>
  <c r="P151" i="36"/>
  <c r="P92" i="36"/>
  <c r="R91" i="36"/>
  <c r="L41" i="36"/>
  <c r="J42" i="36"/>
  <c r="L42" i="36" s="1"/>
  <c r="R41" i="36"/>
  <c r="P42" i="36"/>
  <c r="R46" i="36"/>
  <c r="P47" i="36"/>
  <c r="R47" i="36" s="1"/>
  <c r="L11" i="36"/>
  <c r="J12" i="36"/>
  <c r="L12" i="36" s="1"/>
  <c r="L116" i="36"/>
  <c r="J117" i="36"/>
  <c r="L117" i="36" s="1"/>
  <c r="P102" i="36"/>
  <c r="R101" i="36"/>
  <c r="L131" i="36"/>
  <c r="J132" i="36"/>
  <c r="L132" i="36" s="1"/>
  <c r="J107" i="33"/>
  <c r="P7" i="36"/>
  <c r="R6" i="36"/>
  <c r="P136" i="36"/>
  <c r="P146" i="36"/>
  <c r="R61" i="36"/>
  <c r="P62" i="36"/>
  <c r="H92" i="36"/>
  <c r="H151" i="36"/>
  <c r="H152" i="36" s="1"/>
  <c r="P141" i="36"/>
  <c r="P17" i="36"/>
  <c r="R16" i="36"/>
  <c r="H17" i="36"/>
  <c r="H141" i="36"/>
  <c r="H142" i="36" s="1"/>
  <c r="P72" i="36"/>
  <c r="R72" i="36" s="1"/>
  <c r="R71" i="36"/>
  <c r="R111" i="36"/>
  <c r="P112" i="36"/>
  <c r="L66" i="36"/>
  <c r="J67" i="36"/>
  <c r="L67" i="36" s="1"/>
  <c r="H107" i="33"/>
  <c r="J47" i="33"/>
  <c r="H27" i="33"/>
  <c r="H127" i="33"/>
  <c r="H22" i="33"/>
  <c r="H92" i="33"/>
  <c r="H82" i="33"/>
  <c r="H72" i="33"/>
  <c r="J127" i="33"/>
  <c r="J92" i="33"/>
  <c r="J82" i="33"/>
  <c r="J72" i="33"/>
  <c r="J27" i="33"/>
  <c r="H77" i="33"/>
  <c r="J117" i="33"/>
  <c r="H62" i="33"/>
  <c r="H122" i="33"/>
  <c r="H12" i="33"/>
  <c r="H132" i="33"/>
  <c r="H112" i="33"/>
  <c r="H102" i="33"/>
  <c r="J17" i="33"/>
  <c r="J62" i="33"/>
  <c r="J32" i="33"/>
  <c r="J37" i="33"/>
  <c r="J12" i="33"/>
  <c r="J112" i="33"/>
  <c r="J102" i="33"/>
  <c r="L121" i="33"/>
  <c r="L81" i="33"/>
  <c r="L21" i="33"/>
  <c r="R71" i="33"/>
  <c r="AE73" i="18"/>
  <c r="AE74" i="18" s="1"/>
  <c r="S66" i="19"/>
  <c r="S71" i="19" s="1"/>
  <c r="S77" i="19"/>
  <c r="S82" i="19" s="1"/>
  <c r="AE110" i="18"/>
  <c r="AJ110" i="18"/>
  <c r="AM97" i="18"/>
  <c r="AJ98" i="18"/>
  <c r="AE97" i="18"/>
  <c r="AN98" i="18"/>
  <c r="AG73" i="18"/>
  <c r="AG74" i="18" s="1"/>
  <c r="AD98" i="18"/>
  <c r="AD85" i="18"/>
  <c r="AD86" i="18" s="1"/>
  <c r="Q81" i="19"/>
  <c r="AM85" i="18"/>
  <c r="AA109" i="18"/>
  <c r="AV85" i="18"/>
  <c r="AL85" i="18"/>
  <c r="W93" i="19"/>
  <c r="AK109" i="18"/>
  <c r="Q92" i="19"/>
  <c r="AK74" i="18"/>
  <c r="AN86" i="18"/>
  <c r="AE85" i="18"/>
  <c r="AE86" i="18" s="1"/>
  <c r="AJ85" i="18"/>
  <c r="AP110" i="18"/>
  <c r="AF110" i="18"/>
  <c r="K93" i="19"/>
  <c r="L92" i="19"/>
  <c r="T92" i="19"/>
  <c r="M92" i="19"/>
  <c r="Y81" i="19"/>
  <c r="L56" i="33"/>
  <c r="R106" i="33"/>
  <c r="L86" i="33"/>
  <c r="L116" i="33"/>
  <c r="Y88" i="19"/>
  <c r="Y93" i="19" s="1"/>
  <c r="AA77" i="19"/>
  <c r="AA82" i="19" s="1"/>
  <c r="X66" i="19"/>
  <c r="X71" i="19" s="1"/>
  <c r="AL109" i="18"/>
  <c r="AV97" i="18"/>
  <c r="AR97" i="18"/>
  <c r="AL97" i="18"/>
  <c r="X77" i="19"/>
  <c r="X82" i="19" s="1"/>
  <c r="L82" i="19"/>
  <c r="AB81" i="19"/>
  <c r="R81" i="19"/>
  <c r="L81" i="19"/>
  <c r="M70" i="19"/>
  <c r="R81" i="33"/>
  <c r="L101" i="33"/>
  <c r="L66" i="33"/>
  <c r="R96" i="33"/>
  <c r="W66" i="19"/>
  <c r="W71" i="19" s="1"/>
  <c r="AB66" i="19"/>
  <c r="AB70" i="19" s="1"/>
  <c r="AA98" i="18"/>
  <c r="AR74" i="18"/>
  <c r="AL74" i="18"/>
  <c r="N92" i="19"/>
  <c r="X92" i="19"/>
  <c r="M82" i="19"/>
  <c r="K81" i="19"/>
  <c r="R66" i="33"/>
  <c r="L26" i="33"/>
  <c r="J64" i="3" a="1"/>
  <c r="J64" i="3" s="1"/>
  <c r="P146" i="33"/>
  <c r="R76" i="33"/>
  <c r="J141" i="33"/>
  <c r="L16" i="33"/>
  <c r="H136" i="33"/>
  <c r="R61" i="33"/>
  <c r="P151" i="33"/>
  <c r="R56" i="33"/>
  <c r="L41" i="33"/>
  <c r="R126" i="33"/>
  <c r="L76" i="33"/>
  <c r="R11" i="33"/>
  <c r="R51" i="33"/>
  <c r="L131" i="33"/>
  <c r="H146" i="33"/>
  <c r="R36" i="33"/>
  <c r="L36" i="33"/>
  <c r="R111" i="33"/>
  <c r="L111" i="33"/>
  <c r="R46" i="33"/>
  <c r="R121" i="33"/>
  <c r="L6" i="33"/>
  <c r="J136" i="33"/>
  <c r="L71" i="33"/>
  <c r="R91" i="33"/>
  <c r="L91" i="33"/>
  <c r="J151" i="33"/>
  <c r="R101" i="33"/>
  <c r="R86" i="33"/>
  <c r="L11" i="33"/>
  <c r="R21" i="33"/>
  <c r="L31" i="33"/>
  <c r="R116" i="33"/>
  <c r="P141" i="33"/>
  <c r="R16" i="33"/>
  <c r="H141" i="33"/>
  <c r="J146" i="33"/>
  <c r="L61" i="33"/>
  <c r="P136" i="33"/>
  <c r="R6" i="33"/>
  <c r="H151" i="33"/>
  <c r="L126" i="33"/>
  <c r="L51" i="33"/>
  <c r="R31" i="33"/>
  <c r="R26" i="33"/>
  <c r="J4" i="3" a="1"/>
  <c r="J4" i="3" s="1"/>
  <c r="L100" i="33"/>
  <c r="L115" i="33"/>
  <c r="L80" i="33"/>
  <c r="J65" i="3" a="1"/>
  <c r="J65" i="3" s="1"/>
  <c r="L20" i="33"/>
  <c r="H140" i="33"/>
  <c r="L10" i="33"/>
  <c r="L30" i="33"/>
  <c r="R85" i="33"/>
  <c r="J59" i="3" a="1"/>
  <c r="J59" i="3" s="1"/>
  <c r="R40" i="33"/>
  <c r="W24" i="21" a="1"/>
  <c r="W24" i="21" s="1"/>
  <c r="P47" i="33"/>
  <c r="J99" i="3" a="1"/>
  <c r="J99" i="3" s="1"/>
  <c r="J50" i="3" a="1"/>
  <c r="J50" i="3" s="1"/>
  <c r="J20" i="3" a="1"/>
  <c r="J20" i="3" s="1"/>
  <c r="H135" i="33"/>
  <c r="R25" i="33"/>
  <c r="L70" i="33"/>
  <c r="R65" i="33"/>
  <c r="R120" i="33"/>
  <c r="R95" i="33"/>
  <c r="R55" i="33"/>
  <c r="L75" i="33"/>
  <c r="L120" i="33"/>
  <c r="L55" i="33"/>
  <c r="L45" i="33"/>
  <c r="J9" i="3" a="1"/>
  <c r="J9" i="3" s="1"/>
  <c r="W4" i="21" a="1"/>
  <c r="W4" i="21" s="1"/>
  <c r="J130" i="3" a="1"/>
  <c r="J130" i="3" s="1"/>
  <c r="W15" i="21" a="1"/>
  <c r="W15" i="21" s="1"/>
  <c r="J30" i="3" a="1"/>
  <c r="J30" i="3" s="1"/>
  <c r="J40" i="3" a="1"/>
  <c r="J40" i="3" s="1"/>
  <c r="J35" i="3" a="1"/>
  <c r="J35" i="3" s="1"/>
  <c r="W20" i="21" a="1"/>
  <c r="W20" i="21" s="1"/>
  <c r="J115" i="3" a="1"/>
  <c r="J115" i="3" s="1"/>
  <c r="W5" i="21" a="1"/>
  <c r="W5" i="21" s="1"/>
  <c r="L110" i="33"/>
  <c r="J15" i="3" a="1"/>
  <c r="J15" i="3" s="1"/>
  <c r="W25" i="21" a="1"/>
  <c r="W25" i="21" s="1"/>
  <c r="J80" i="3" a="1"/>
  <c r="J80" i="3" s="1"/>
  <c r="J34" i="3" a="1"/>
  <c r="J34" i="3" s="1"/>
  <c r="J19" i="3" a="1"/>
  <c r="J19" i="3" s="1"/>
  <c r="W14" i="21" a="1"/>
  <c r="W14" i="21" s="1"/>
  <c r="R130" i="33"/>
  <c r="L35" i="33"/>
  <c r="R50" i="33"/>
  <c r="L50" i="33"/>
  <c r="R20" i="33"/>
  <c r="L54" i="33"/>
  <c r="R15" i="33"/>
  <c r="P140" i="33"/>
  <c r="L105" i="33"/>
  <c r="L49" i="33"/>
  <c r="L124" i="33"/>
  <c r="P22" i="33"/>
  <c r="R19" i="33"/>
  <c r="L59" i="33"/>
  <c r="J144" i="33"/>
  <c r="R114" i="33"/>
  <c r="P117" i="33"/>
  <c r="P87" i="33"/>
  <c r="R84" i="33"/>
  <c r="P82" i="33"/>
  <c r="R79" i="33"/>
  <c r="L129" i="33"/>
  <c r="W9" i="21" a="1"/>
  <c r="W9" i="21" s="1"/>
  <c r="W35" i="21" a="1"/>
  <c r="W35" i="21" s="1"/>
  <c r="R5" i="33"/>
  <c r="P135" i="33"/>
  <c r="P57" i="33"/>
  <c r="R54" i="33"/>
  <c r="L39" i="33"/>
  <c r="J140" i="33"/>
  <c r="L15" i="33"/>
  <c r="R70" i="33"/>
  <c r="P145" i="33"/>
  <c r="R60" i="33"/>
  <c r="L65" i="33"/>
  <c r="R74" i="33"/>
  <c r="P77" i="33"/>
  <c r="P127" i="33"/>
  <c r="R124" i="33"/>
  <c r="R34" i="33"/>
  <c r="P37" i="33"/>
  <c r="L79" i="33"/>
  <c r="L29" i="33"/>
  <c r="L95" i="33"/>
  <c r="R35" i="33"/>
  <c r="P92" i="33"/>
  <c r="P149" i="33"/>
  <c r="R89" i="33"/>
  <c r="L24" i="33"/>
  <c r="H7" i="33"/>
  <c r="H134" i="33"/>
  <c r="L119" i="33"/>
  <c r="L125" i="33"/>
  <c r="R69" i="33"/>
  <c r="P72" i="33"/>
  <c r="P150" i="33"/>
  <c r="R90" i="33"/>
  <c r="L19" i="33"/>
  <c r="R59" i="33"/>
  <c r="P62" i="33"/>
  <c r="P144" i="33"/>
  <c r="L89" i="33"/>
  <c r="J149" i="33"/>
  <c r="R94" i="33"/>
  <c r="P97" i="33"/>
  <c r="J5" i="3" a="1"/>
  <c r="J5" i="3" s="1"/>
  <c r="J60" i="3" a="1"/>
  <c r="J60" i="3" s="1"/>
  <c r="R60" i="3" s="1"/>
  <c r="W19" i="21" a="1"/>
  <c r="W19" i="21" s="1"/>
  <c r="R115" i="33"/>
  <c r="L25" i="33"/>
  <c r="P12" i="33"/>
  <c r="R9" i="33"/>
  <c r="L99" i="33"/>
  <c r="R39" i="33"/>
  <c r="P42" i="33"/>
  <c r="L130" i="33"/>
  <c r="J145" i="33"/>
  <c r="L60" i="33"/>
  <c r="H150" i="33"/>
  <c r="H149" i="33"/>
  <c r="L34" i="33"/>
  <c r="P67" i="33"/>
  <c r="R64" i="33"/>
  <c r="R29" i="33"/>
  <c r="P32" i="33"/>
  <c r="R45" i="33"/>
  <c r="R80" i="33"/>
  <c r="H139" i="33"/>
  <c r="L114" i="33"/>
  <c r="L109" i="33"/>
  <c r="L85" i="33"/>
  <c r="L40" i="33"/>
  <c r="J7" i="33"/>
  <c r="J134" i="33"/>
  <c r="L4" i="33"/>
  <c r="R10" i="33"/>
  <c r="R125" i="33"/>
  <c r="J49" i="3" a="1"/>
  <c r="J49" i="3" s="1"/>
  <c r="J135" i="33"/>
  <c r="L5" i="33"/>
  <c r="R44" i="33"/>
  <c r="L44" i="33"/>
  <c r="L104" i="33"/>
  <c r="P17" i="33"/>
  <c r="P139" i="33"/>
  <c r="R14" i="33"/>
  <c r="P27" i="33"/>
  <c r="R24" i="33"/>
  <c r="R119" i="33"/>
  <c r="P122" i="33"/>
  <c r="J54" i="3" a="1"/>
  <c r="J54" i="3" s="1"/>
  <c r="J39" i="3" a="1"/>
  <c r="J39" i="3" s="1"/>
  <c r="J24" i="3" a="1"/>
  <c r="J24" i="3" s="1"/>
  <c r="W34" i="21" a="1"/>
  <c r="W34" i="21" s="1"/>
  <c r="J10" i="3" a="1"/>
  <c r="J10" i="3" s="1"/>
  <c r="W30" i="21" a="1"/>
  <c r="W30" i="21" s="1"/>
  <c r="R75" i="33"/>
  <c r="L9" i="33"/>
  <c r="P102" i="33"/>
  <c r="R99" i="33"/>
  <c r="R110" i="33"/>
  <c r="R105" i="33"/>
  <c r="H145" i="33"/>
  <c r="J150" i="33"/>
  <c r="L90" i="33"/>
  <c r="P52" i="33"/>
  <c r="R49" i="33"/>
  <c r="L74" i="33"/>
  <c r="P107" i="33"/>
  <c r="R104" i="33"/>
  <c r="L64" i="33"/>
  <c r="R30" i="33"/>
  <c r="H144" i="33"/>
  <c r="R100" i="33"/>
  <c r="J139" i="33"/>
  <c r="L14" i="33"/>
  <c r="R129" i="33"/>
  <c r="P132" i="33"/>
  <c r="P112" i="33"/>
  <c r="R109" i="33"/>
  <c r="L94" i="33"/>
  <c r="P7" i="33"/>
  <c r="R4" i="33"/>
  <c r="P134" i="33"/>
  <c r="L84" i="33"/>
  <c r="L69" i="33"/>
  <c r="J44" i="3" a="1"/>
  <c r="J44" i="3" s="1"/>
  <c r="J129" i="3" a="1"/>
  <c r="J129" i="3" s="1"/>
  <c r="J14" i="3" a="1"/>
  <c r="J14" i="3" s="1"/>
  <c r="W29" i="21" a="1"/>
  <c r="W29" i="21" s="1"/>
  <c r="J109" i="3" a="1"/>
  <c r="J109" i="3" s="1"/>
  <c r="J119" i="3" a="1"/>
  <c r="J119" i="3" s="1"/>
  <c r="J79" i="3" a="1"/>
  <c r="J79" i="3" s="1"/>
  <c r="J69" i="3" a="1"/>
  <c r="J69" i="3" s="1"/>
  <c r="J100" i="3" a="1"/>
  <c r="J100" i="3" s="1"/>
  <c r="J75" i="3" a="1"/>
  <c r="J75" i="3" s="1"/>
  <c r="J125" i="3" a="1"/>
  <c r="J125" i="3" s="1"/>
  <c r="J90" i="3" a="1"/>
  <c r="J90" i="3" s="1"/>
  <c r="J55" i="3" a="1"/>
  <c r="J55" i="3" s="1"/>
  <c r="J25" i="3" a="1"/>
  <c r="J25" i="3" s="1"/>
  <c r="J95" i="3" a="1"/>
  <c r="J95" i="3" s="1"/>
  <c r="J105" i="3" a="1"/>
  <c r="J105" i="3" s="1"/>
  <c r="J110" i="3" a="1"/>
  <c r="J110" i="3" s="1"/>
  <c r="J85" i="3" a="1"/>
  <c r="J85" i="3" s="1"/>
  <c r="J70" i="3" a="1"/>
  <c r="J70" i="3" s="1"/>
  <c r="J120" i="3" a="1"/>
  <c r="J120" i="3" s="1"/>
  <c r="J89" i="3" a="1"/>
  <c r="J89" i="3" s="1"/>
  <c r="W10" i="21" a="1"/>
  <c r="W10" i="21" s="1"/>
  <c r="J29" i="3" a="1"/>
  <c r="J29" i="3" s="1"/>
  <c r="J74" i="3" a="1"/>
  <c r="J74" i="3" s="1"/>
  <c r="J94" i="3" a="1"/>
  <c r="J94" i="3" s="1"/>
  <c r="J84" i="3" a="1"/>
  <c r="J84" i="3" s="1"/>
  <c r="H64" i="3"/>
  <c r="J104" i="3" a="1"/>
  <c r="J104" i="3" s="1"/>
  <c r="J124" i="3" a="1"/>
  <c r="J124" i="3" s="1"/>
  <c r="J114" i="3" a="1"/>
  <c r="J114" i="3" s="1"/>
  <c r="J61" i="3"/>
  <c r="L61" i="3" s="1"/>
  <c r="P61" i="3"/>
  <c r="P111" i="3"/>
  <c r="P116" i="3"/>
  <c r="W6" i="21"/>
  <c r="J71" i="3"/>
  <c r="W11" i="21"/>
  <c r="P26" i="3"/>
  <c r="P91" i="3"/>
  <c r="H116" i="3"/>
  <c r="H6" i="3"/>
  <c r="P36" i="3"/>
  <c r="H106" i="3"/>
  <c r="P86" i="3"/>
  <c r="H71" i="3"/>
  <c r="P31" i="3"/>
  <c r="P51" i="3"/>
  <c r="H91" i="3"/>
  <c r="P106" i="3"/>
  <c r="J121" i="3"/>
  <c r="H96" i="3"/>
  <c r="J101" i="3"/>
  <c r="P81" i="3"/>
  <c r="W16" i="21"/>
  <c r="P96" i="3"/>
  <c r="P101" i="3"/>
  <c r="R101" i="3" s="1"/>
  <c r="H56" i="3"/>
  <c r="H86" i="3"/>
  <c r="J131" i="3"/>
  <c r="J91" i="3"/>
  <c r="P46" i="3"/>
  <c r="H111" i="3"/>
  <c r="W26" i="21"/>
  <c r="P56" i="3"/>
  <c r="P131" i="3"/>
  <c r="H21" i="3"/>
  <c r="J116" i="3"/>
  <c r="P41" i="3"/>
  <c r="H46" i="3"/>
  <c r="P126" i="3"/>
  <c r="H31" i="3"/>
  <c r="J111" i="3"/>
  <c r="P16" i="3"/>
  <c r="H121" i="3"/>
  <c r="H26" i="3"/>
  <c r="P66" i="3"/>
  <c r="H66" i="3"/>
  <c r="J36" i="3"/>
  <c r="P11" i="3"/>
  <c r="H41" i="3"/>
  <c r="W21" i="21"/>
  <c r="J51" i="3"/>
  <c r="J106" i="3"/>
  <c r="J16" i="3"/>
  <c r="P76" i="3"/>
  <c r="J81" i="3"/>
  <c r="J6" i="3"/>
  <c r="J66" i="3"/>
  <c r="J76" i="3"/>
  <c r="H81" i="3"/>
  <c r="P45" i="3"/>
  <c r="P109" i="3"/>
  <c r="P10" i="3"/>
  <c r="P115" i="3"/>
  <c r="P34" i="3"/>
  <c r="P19" i="3"/>
  <c r="P69" i="3"/>
  <c r="P5" i="3"/>
  <c r="P80" i="3"/>
  <c r="H95" i="3"/>
  <c r="P15" i="3"/>
  <c r="V4" i="21"/>
  <c r="P24" i="3"/>
  <c r="P44" i="3"/>
  <c r="H14" i="3"/>
  <c r="P99" i="3"/>
  <c r="P29" i="3"/>
  <c r="P54" i="3"/>
  <c r="P89" i="3"/>
  <c r="P85" i="3"/>
  <c r="P125" i="3"/>
  <c r="P120" i="3"/>
  <c r="P35" i="3"/>
  <c r="H19" i="3"/>
  <c r="P64" i="3"/>
  <c r="H59" i="3"/>
  <c r="H36" i="3"/>
  <c r="H101" i="3"/>
  <c r="H131" i="3"/>
  <c r="H16" i="3"/>
  <c r="H51" i="3"/>
  <c r="P121" i="3"/>
  <c r="H126" i="3"/>
  <c r="J96" i="3"/>
  <c r="J26" i="3"/>
  <c r="P71" i="3"/>
  <c r="P6" i="3"/>
  <c r="H76" i="3"/>
  <c r="P21" i="3"/>
  <c r="H11" i="3"/>
  <c r="J31" i="3"/>
  <c r="P9" i="3"/>
  <c r="P59" i="3"/>
  <c r="P62" i="3" s="1"/>
  <c r="H114" i="3"/>
  <c r="H9" i="3"/>
  <c r="P70" i="3"/>
  <c r="P50" i="3"/>
  <c r="P100" i="3"/>
  <c r="H39" i="3"/>
  <c r="H10" i="3"/>
  <c r="P25" i="3"/>
  <c r="P75" i="3"/>
  <c r="P110" i="3"/>
  <c r="P49" i="3"/>
  <c r="P4" i="3"/>
  <c r="P129" i="3"/>
  <c r="P14" i="3"/>
  <c r="P95" i="3"/>
  <c r="P39" i="3"/>
  <c r="H34" i="3"/>
  <c r="P119" i="3"/>
  <c r="P79" i="3"/>
  <c r="H84" i="3"/>
  <c r="P30" i="3"/>
  <c r="P40" i="3"/>
  <c r="P90" i="3"/>
  <c r="P20" i="3"/>
  <c r="J45" i="3" a="1"/>
  <c r="J45" i="3" s="1"/>
  <c r="H35" i="3"/>
  <c r="P130" i="3"/>
  <c r="P105" i="3"/>
  <c r="P55" i="3"/>
  <c r="H104" i="3"/>
  <c r="H79" i="3"/>
  <c r="P94" i="3"/>
  <c r="H99" i="3"/>
  <c r="H54" i="3"/>
  <c r="P114" i="3"/>
  <c r="H4" i="3"/>
  <c r="P74" i="3"/>
  <c r="H44" i="3"/>
  <c r="H50" i="3"/>
  <c r="H30" i="3"/>
  <c r="H5" i="3"/>
  <c r="H90" i="3"/>
  <c r="H130" i="3"/>
  <c r="H75" i="3"/>
  <c r="H55" i="3"/>
  <c r="H25" i="3"/>
  <c r="H115" i="3"/>
  <c r="P65" i="3"/>
  <c r="H65" i="3"/>
  <c r="R61" i="29"/>
  <c r="J41" i="29" a="1"/>
  <c r="J41" i="29" s="1"/>
  <c r="J131" i="29" a="1"/>
  <c r="J131" i="29" s="1"/>
  <c r="H76" i="29"/>
  <c r="H16" i="29"/>
  <c r="P71" i="29"/>
  <c r="H51" i="29"/>
  <c r="J101" i="29" a="1"/>
  <c r="J101" i="29" s="1"/>
  <c r="J81" i="29" a="1"/>
  <c r="J81" i="29" s="1"/>
  <c r="J106" i="29" a="1"/>
  <c r="J106" i="29" s="1"/>
  <c r="H56" i="29"/>
  <c r="P21" i="29"/>
  <c r="H116" i="29"/>
  <c r="J86" i="29" a="1"/>
  <c r="J86" i="29" s="1"/>
  <c r="J121" i="29" a="1"/>
  <c r="J121" i="29" s="1"/>
  <c r="J116" i="29" a="1"/>
  <c r="J116" i="29" s="1"/>
  <c r="P31" i="29"/>
  <c r="R31" i="29" s="1"/>
  <c r="P26" i="29"/>
  <c r="R26" i="29" s="1"/>
  <c r="H91" i="29"/>
  <c r="P36" i="29"/>
  <c r="H111" i="29"/>
  <c r="J96" i="29" a="1"/>
  <c r="J96" i="29" s="1"/>
  <c r="H106" i="29"/>
  <c r="P76" i="29"/>
  <c r="P16" i="29"/>
  <c r="P56" i="29"/>
  <c r="H121" i="29"/>
  <c r="J91" i="29" a="1"/>
  <c r="J91" i="29" s="1"/>
  <c r="R91" i="29" s="1"/>
  <c r="J51" i="29" a="1"/>
  <c r="J51" i="29" s="1"/>
  <c r="P96" i="29"/>
  <c r="P11" i="29"/>
  <c r="P51" i="29"/>
  <c r="H31" i="29"/>
  <c r="L31" i="29" s="1"/>
  <c r="P6" i="29"/>
  <c r="H41" i="29"/>
  <c r="H131" i="29"/>
  <c r="H96" i="29"/>
  <c r="J76" i="29" a="1"/>
  <c r="J76" i="29" s="1"/>
  <c r="J6" i="29" a="1"/>
  <c r="J6" i="29" s="1"/>
  <c r="P41" i="29"/>
  <c r="P116" i="29"/>
  <c r="H6" i="29"/>
  <c r="J46" i="29" a="1"/>
  <c r="J46" i="29" s="1"/>
  <c r="H46" i="29"/>
  <c r="H71" i="29"/>
  <c r="P106" i="29"/>
  <c r="P46" i="29"/>
  <c r="H21" i="29"/>
  <c r="P86" i="29"/>
  <c r="P101" i="29"/>
  <c r="P121" i="29"/>
  <c r="P81" i="29"/>
  <c r="J111" i="29" a="1"/>
  <c r="J111" i="29" s="1"/>
  <c r="J71" i="29" a="1"/>
  <c r="J71" i="29" s="1"/>
  <c r="J56" i="29" a="1"/>
  <c r="J56" i="29" s="1"/>
  <c r="J16" i="29" a="1"/>
  <c r="J16" i="29" s="1"/>
  <c r="J36" i="29" a="1"/>
  <c r="J36" i="29" s="1"/>
  <c r="L36" i="29" s="1"/>
  <c r="J21" i="29" a="1"/>
  <c r="J21" i="29" s="1"/>
  <c r="H86" i="29"/>
  <c r="H101" i="29"/>
  <c r="H81" i="29"/>
  <c r="H126" i="29"/>
  <c r="L126" i="29" s="1"/>
  <c r="J11" i="29" a="1"/>
  <c r="J11" i="29" s="1"/>
  <c r="L11" i="29" s="1"/>
  <c r="P126" i="29"/>
  <c r="R126" i="29" s="1"/>
  <c r="J129" i="29" a="1"/>
  <c r="J129" i="29" s="1"/>
  <c r="H59" i="29"/>
  <c r="P59" i="29"/>
  <c r="J59" i="29" a="1"/>
  <c r="J59" i="29" s="1"/>
  <c r="J104" i="29" a="1"/>
  <c r="J104" i="29" s="1"/>
  <c r="J60" i="29" a="1"/>
  <c r="J60" i="29" s="1"/>
  <c r="P60" i="29"/>
  <c r="H60" i="29"/>
  <c r="H85" i="29"/>
  <c r="J15" i="29" a="1"/>
  <c r="J15" i="29" s="1"/>
  <c r="H29" i="29"/>
  <c r="P29" i="29"/>
  <c r="J14" i="29" a="1"/>
  <c r="J14" i="29" s="1"/>
  <c r="J30" i="29" a="1"/>
  <c r="J30" i="29" s="1"/>
  <c r="J85" i="29" a="1"/>
  <c r="J85" i="29" s="1"/>
  <c r="J40" i="29" a="1"/>
  <c r="J40" i="29" s="1"/>
  <c r="H120" i="29"/>
  <c r="P35" i="29"/>
  <c r="P20" i="29"/>
  <c r="R20" i="29" s="1"/>
  <c r="P90" i="29"/>
  <c r="J5" i="29" a="1"/>
  <c r="J5" i="29" s="1"/>
  <c r="J10" i="29" a="1"/>
  <c r="J10" i="29" s="1"/>
  <c r="R10" i="29" s="1"/>
  <c r="J114" i="29" a="1"/>
  <c r="J114" i="29" s="1"/>
  <c r="L114" i="29" s="1"/>
  <c r="P99" i="29"/>
  <c r="J124" i="29" a="1"/>
  <c r="J124" i="29" s="1"/>
  <c r="J127" i="29" s="1"/>
  <c r="H9" i="29"/>
  <c r="J74" i="29" a="1"/>
  <c r="J74" i="29" s="1"/>
  <c r="H119" i="29"/>
  <c r="J65" i="29" a="1"/>
  <c r="J65" i="29" s="1"/>
  <c r="L65" i="29" s="1"/>
  <c r="P25" i="29"/>
  <c r="H74" i="3"/>
  <c r="H124" i="3"/>
  <c r="P84" i="3"/>
  <c r="P104" i="3"/>
  <c r="P124" i="3"/>
  <c r="H24" i="3"/>
  <c r="H49" i="3"/>
  <c r="H129" i="3"/>
  <c r="H29" i="3"/>
  <c r="H109" i="3"/>
  <c r="H69" i="3"/>
  <c r="H89" i="3"/>
  <c r="H60" i="3"/>
  <c r="H100" i="3"/>
  <c r="H20" i="3"/>
  <c r="H105" i="3"/>
  <c r="H40" i="3"/>
  <c r="H80" i="3"/>
  <c r="H120" i="3"/>
  <c r="H85" i="3"/>
  <c r="H125" i="3"/>
  <c r="H94" i="3"/>
  <c r="H119" i="3"/>
  <c r="H15" i="3"/>
  <c r="H45" i="3"/>
  <c r="H70" i="3"/>
  <c r="H110" i="3"/>
  <c r="P9" i="29"/>
  <c r="J75" i="29" a="1"/>
  <c r="J75" i="29" s="1"/>
  <c r="J34" i="29" a="1"/>
  <c r="J34" i="29" s="1"/>
  <c r="H104" i="29"/>
  <c r="H99" i="29"/>
  <c r="P114" i="29"/>
  <c r="H4" i="29"/>
  <c r="P74" i="29"/>
  <c r="P40" i="29"/>
  <c r="P70" i="29"/>
  <c r="H45" i="29"/>
  <c r="H75" i="29"/>
  <c r="P95" i="29"/>
  <c r="P120" i="29"/>
  <c r="J50" i="29" a="1"/>
  <c r="J50" i="29" s="1"/>
  <c r="P15" i="29"/>
  <c r="H64" i="29"/>
  <c r="J64" i="29" a="1"/>
  <c r="J64" i="29" s="1"/>
  <c r="H44" i="29"/>
  <c r="P129" i="29"/>
  <c r="J79" i="29" a="1"/>
  <c r="J79" i="29" s="1"/>
  <c r="P19" i="29"/>
  <c r="P4" i="29"/>
  <c r="H34" i="29"/>
  <c r="H24" i="29"/>
  <c r="J24" i="29" a="1"/>
  <c r="J24" i="29" s="1"/>
  <c r="J39" i="29" a="1"/>
  <c r="J39" i="29" s="1"/>
  <c r="P109" i="29"/>
  <c r="P94" i="29"/>
  <c r="J94" i="29" a="1"/>
  <c r="J94" i="29" s="1"/>
  <c r="J69" i="29" a="1"/>
  <c r="J69" i="29" s="1"/>
  <c r="H54" i="29"/>
  <c r="P84" i="29"/>
  <c r="J49" i="29" a="1"/>
  <c r="J49" i="29" s="1"/>
  <c r="P49" i="29"/>
  <c r="H49" i="29"/>
  <c r="P14" i="29"/>
  <c r="J89" i="29" a="1"/>
  <c r="J89" i="29" s="1"/>
  <c r="J70" i="29" a="1"/>
  <c r="J70" i="29" s="1"/>
  <c r="J55" i="29" a="1"/>
  <c r="J55" i="29" s="1"/>
  <c r="H15" i="29"/>
  <c r="P45" i="29"/>
  <c r="H35" i="29"/>
  <c r="J35" i="29" a="1"/>
  <c r="J35" i="29" s="1"/>
  <c r="P125" i="29"/>
  <c r="R125" i="29" s="1"/>
  <c r="H100" i="29"/>
  <c r="H55" i="29"/>
  <c r="J115" i="29" a="1"/>
  <c r="J115" i="29" s="1"/>
  <c r="P115" i="29"/>
  <c r="H5" i="29"/>
  <c r="J130" i="29" a="1"/>
  <c r="J130" i="29" s="1"/>
  <c r="P130" i="29"/>
  <c r="H80" i="29"/>
  <c r="J80" i="29" a="1"/>
  <c r="J80" i="29" s="1"/>
  <c r="P80" i="29"/>
  <c r="J84" i="29" a="1"/>
  <c r="J84" i="29" s="1"/>
  <c r="P39" i="29"/>
  <c r="H69" i="29"/>
  <c r="P54" i="29"/>
  <c r="P124" i="29"/>
  <c r="H109" i="29"/>
  <c r="P69" i="29"/>
  <c r="H79" i="29"/>
  <c r="H84" i="29"/>
  <c r="P89" i="29"/>
  <c r="H30" i="29"/>
  <c r="P110" i="29"/>
  <c r="J45" i="29" a="1"/>
  <c r="J45" i="29" s="1"/>
  <c r="H115" i="29"/>
  <c r="J95" i="29" a="1"/>
  <c r="J95" i="29" s="1"/>
  <c r="J100" i="29" a="1"/>
  <c r="J100" i="29" s="1"/>
  <c r="J19" i="29" a="1"/>
  <c r="J19" i="29" s="1"/>
  <c r="P104" i="29"/>
  <c r="J29" i="29" a="1"/>
  <c r="J29" i="29" s="1"/>
  <c r="H50" i="29"/>
  <c r="H14" i="29"/>
  <c r="J90" i="29" a="1"/>
  <c r="J90" i="29" s="1"/>
  <c r="H25" i="29"/>
  <c r="P75" i="29"/>
  <c r="J105" i="29" a="1"/>
  <c r="J105" i="29" s="1"/>
  <c r="L105" i="29" s="1"/>
  <c r="L90" i="21"/>
  <c r="L96" i="21"/>
  <c r="P47" i="21"/>
  <c r="O71" i="19"/>
  <c r="O70" i="19"/>
  <c r="AN97" i="18"/>
  <c r="AH97" i="18"/>
  <c r="S92" i="19"/>
  <c r="AJ74" i="18"/>
  <c r="L26" i="29"/>
  <c r="AM109" i="18"/>
  <c r="AM110" i="18"/>
  <c r="AH110" i="18"/>
  <c r="O93" i="19"/>
  <c r="O92" i="19"/>
  <c r="O81" i="19"/>
  <c r="L61" i="29"/>
  <c r="AN74" i="18"/>
  <c r="AN73" i="18"/>
  <c r="AJ109" i="18"/>
  <c r="R66" i="29"/>
  <c r="L66" i="29"/>
  <c r="AN109" i="18"/>
  <c r="AK85" i="18"/>
  <c r="AK86" i="18"/>
  <c r="AG97" i="18"/>
  <c r="AG110" i="18"/>
  <c r="AG98" i="18"/>
  <c r="AM86" i="18"/>
  <c r="AG85" i="18"/>
  <c r="AG86" i="18" s="1"/>
  <c r="AD73" i="18"/>
  <c r="AD74" i="18" s="1"/>
  <c r="AC109" i="18"/>
  <c r="AC110" i="18"/>
  <c r="AT109" i="18"/>
  <c r="AF109" i="18"/>
  <c r="AT74" i="18"/>
  <c r="AT73" i="18"/>
  <c r="AP74" i="18"/>
  <c r="AT85" i="18"/>
  <c r="AT86" i="18"/>
  <c r="AP85" i="18"/>
  <c r="AF85" i="18"/>
  <c r="AF86" i="18" s="1"/>
  <c r="AX74" i="18"/>
  <c r="AO85" i="18"/>
  <c r="AO86" i="18"/>
  <c r="P93" i="19"/>
  <c r="P92" i="19"/>
  <c r="R92" i="19"/>
  <c r="R93" i="19"/>
  <c r="AO109" i="18"/>
  <c r="AF98" i="18"/>
  <c r="AX97" i="18"/>
  <c r="AT97" i="18"/>
  <c r="AP97" i="18"/>
  <c r="AF97" i="18"/>
  <c r="AS86" i="18"/>
  <c r="AW74" i="18"/>
  <c r="AA73" i="18"/>
  <c r="AA74" i="18" s="1"/>
  <c r="AV73" i="18"/>
  <c r="AV74" i="18"/>
  <c r="AS74" i="18"/>
  <c r="AO74" i="18"/>
  <c r="AC73" i="18"/>
  <c r="AC74" i="18" s="1"/>
  <c r="K92" i="19"/>
  <c r="Y66" i="19"/>
  <c r="Y71" i="19" s="1"/>
  <c r="AU97" i="18"/>
  <c r="AR86" i="18"/>
  <c r="AQ74" i="18"/>
  <c r="L93" i="19"/>
  <c r="P81" i="19"/>
  <c r="T77" i="19"/>
  <c r="T66" i="19"/>
  <c r="T70" i="19" s="1"/>
  <c r="AS109" i="18"/>
  <c r="AQ86" i="18"/>
  <c r="AW85" i="18"/>
  <c r="AL73" i="18"/>
  <c r="N82" i="19"/>
  <c r="M81" i="19"/>
  <c r="AA70" i="19"/>
  <c r="AB88" i="19"/>
  <c r="AB92" i="19" s="1"/>
  <c r="W77" i="19"/>
  <c r="W81" i="19" s="1"/>
  <c r="AB98" i="18"/>
  <c r="T93" i="19"/>
  <c r="J4" i="29" a="1"/>
  <c r="J4" i="29" s="1"/>
  <c r="P34" i="29"/>
  <c r="P24" i="29"/>
  <c r="J54" i="29" a="1"/>
  <c r="J54" i="29" s="1"/>
  <c r="H125" i="29"/>
  <c r="P100" i="29"/>
  <c r="P5" i="29"/>
  <c r="H130" i="29"/>
  <c r="H10" i="29"/>
  <c r="H90" i="29"/>
  <c r="H19" i="29"/>
  <c r="J109" i="29" a="1"/>
  <c r="J109" i="29" s="1"/>
  <c r="H74" i="29"/>
  <c r="H129" i="29"/>
  <c r="P79" i="29"/>
  <c r="J9" i="29" a="1"/>
  <c r="J9" i="29" s="1"/>
  <c r="H89" i="29"/>
  <c r="P65" i="29"/>
  <c r="J25" i="29" a="1"/>
  <c r="J25" i="29" s="1"/>
  <c r="H40" i="29"/>
  <c r="P105" i="29"/>
  <c r="P55" i="29"/>
  <c r="P50" i="29"/>
  <c r="H95" i="29"/>
  <c r="P85" i="29"/>
  <c r="J119" i="29" a="1"/>
  <c r="J119" i="29" s="1"/>
  <c r="P64" i="29"/>
  <c r="H39" i="29"/>
  <c r="H124" i="29"/>
  <c r="J99" i="29" a="1"/>
  <c r="J99" i="29" s="1"/>
  <c r="J44" i="29" a="1"/>
  <c r="J44" i="29" s="1"/>
  <c r="P44" i="29"/>
  <c r="H94" i="29"/>
  <c r="J120" i="29" a="1"/>
  <c r="J120" i="29" s="1"/>
  <c r="P30" i="29"/>
  <c r="H20" i="29"/>
  <c r="L20" i="29" s="1"/>
  <c r="J110" i="29" a="1"/>
  <c r="J110" i="29" s="1"/>
  <c r="H70" i="29"/>
  <c r="P10" i="21"/>
  <c r="J35" i="21"/>
  <c r="J30" i="21"/>
  <c r="J80" i="21"/>
  <c r="P125" i="21"/>
  <c r="J50" i="21"/>
  <c r="P120" i="21"/>
  <c r="P35" i="21"/>
  <c r="J41" i="21"/>
  <c r="P105" i="21"/>
  <c r="P104" i="21"/>
  <c r="P24" i="21"/>
  <c r="P69" i="21"/>
  <c r="T71" i="19" l="1"/>
  <c r="AA92" i="19"/>
  <c r="S81" i="19"/>
  <c r="X70" i="19"/>
  <c r="Y92" i="19"/>
  <c r="AB71" i="19"/>
  <c r="W70" i="19"/>
  <c r="P27" i="21"/>
  <c r="P72" i="21"/>
  <c r="L41" i="21"/>
  <c r="P107" i="21"/>
  <c r="L35" i="21"/>
  <c r="T35" i="21"/>
  <c r="R35" i="21"/>
  <c r="L50" i="21"/>
  <c r="L116" i="3"/>
  <c r="L80" i="21"/>
  <c r="L30" i="21"/>
  <c r="V81" i="19"/>
  <c r="Z71" i="19"/>
  <c r="V93" i="19"/>
  <c r="V70" i="19"/>
  <c r="AA81" i="19"/>
  <c r="X81" i="19"/>
  <c r="Y70" i="19"/>
  <c r="U88" i="19"/>
  <c r="U66" i="19"/>
  <c r="U77" i="19"/>
  <c r="S70" i="19"/>
  <c r="L86" i="3"/>
  <c r="R36" i="3"/>
  <c r="R91" i="3"/>
  <c r="L6" i="3"/>
  <c r="L131" i="3"/>
  <c r="Z92" i="19"/>
  <c r="H154" i="21"/>
  <c r="L115" i="3"/>
  <c r="R136" i="33"/>
  <c r="R49" i="3"/>
  <c r="L10" i="3"/>
  <c r="R131" i="3"/>
  <c r="R121" i="3"/>
  <c r="L130" i="3"/>
  <c r="L50" i="3"/>
  <c r="R116" i="3"/>
  <c r="L121" i="3"/>
  <c r="R111" i="3"/>
  <c r="H151" i="3"/>
  <c r="J132" i="3"/>
  <c r="R86" i="3"/>
  <c r="R21" i="3"/>
  <c r="L106" i="3"/>
  <c r="L111" i="3"/>
  <c r="P37" i="3"/>
  <c r="L32" i="33"/>
  <c r="L92" i="36"/>
  <c r="P57" i="3"/>
  <c r="R65" i="3"/>
  <c r="L127" i="33"/>
  <c r="L64" i="3"/>
  <c r="L65" i="3"/>
  <c r="L77" i="33"/>
  <c r="L12" i="33"/>
  <c r="L127" i="36"/>
  <c r="R130" i="3"/>
  <c r="P112" i="3"/>
  <c r="J37" i="3"/>
  <c r="L85" i="3"/>
  <c r="R109" i="3"/>
  <c r="R9" i="3"/>
  <c r="R92" i="36"/>
  <c r="L67" i="33"/>
  <c r="L105" i="3"/>
  <c r="P102" i="3"/>
  <c r="R5" i="3"/>
  <c r="L72" i="33"/>
  <c r="R54" i="3"/>
  <c r="R97" i="36"/>
  <c r="L40" i="3"/>
  <c r="L5" i="3"/>
  <c r="R102" i="36"/>
  <c r="L30" i="3"/>
  <c r="R127" i="36"/>
  <c r="R122" i="36"/>
  <c r="R87" i="36"/>
  <c r="L82" i="33"/>
  <c r="L107" i="36"/>
  <c r="R107" i="36"/>
  <c r="R77" i="36"/>
  <c r="L31" i="3"/>
  <c r="R112" i="36"/>
  <c r="R17" i="36"/>
  <c r="R62" i="36"/>
  <c r="R136" i="36"/>
  <c r="R52" i="36"/>
  <c r="R22" i="36"/>
  <c r="R82" i="36"/>
  <c r="R141" i="36"/>
  <c r="P142" i="36"/>
  <c r="R132" i="36"/>
  <c r="L7" i="36"/>
  <c r="J137" i="36"/>
  <c r="R146" i="36"/>
  <c r="P147" i="36"/>
  <c r="R7" i="36"/>
  <c r="P137" i="36"/>
  <c r="R42" i="36"/>
  <c r="L151" i="36"/>
  <c r="J152" i="36"/>
  <c r="L152" i="36" s="1"/>
  <c r="R67" i="36"/>
  <c r="J142" i="36"/>
  <c r="L142" i="36" s="1"/>
  <c r="L141" i="36"/>
  <c r="L146" i="36"/>
  <c r="J147" i="36"/>
  <c r="L147" i="36" s="1"/>
  <c r="H154" i="36"/>
  <c r="R12" i="36"/>
  <c r="R32" i="36"/>
  <c r="L62" i="36"/>
  <c r="L51" i="3"/>
  <c r="L21" i="3"/>
  <c r="P152" i="36"/>
  <c r="R151" i="36"/>
  <c r="R27" i="36"/>
  <c r="R117" i="36"/>
  <c r="L17" i="36"/>
  <c r="L136" i="36"/>
  <c r="R141" i="33"/>
  <c r="H137" i="33"/>
  <c r="R42" i="33"/>
  <c r="R107" i="33"/>
  <c r="L71" i="3"/>
  <c r="L132" i="33"/>
  <c r="R116" i="29"/>
  <c r="R151" i="33"/>
  <c r="P47" i="3"/>
  <c r="R51" i="3"/>
  <c r="L136" i="33"/>
  <c r="L87" i="33"/>
  <c r="L97" i="33"/>
  <c r="L102" i="33"/>
  <c r="L146" i="33"/>
  <c r="L151" i="33"/>
  <c r="L141" i="33"/>
  <c r="R146" i="33"/>
  <c r="L110" i="3"/>
  <c r="J87" i="3"/>
  <c r="L39" i="3"/>
  <c r="L92" i="33"/>
  <c r="L52" i="33"/>
  <c r="H142" i="33"/>
  <c r="L140" i="33"/>
  <c r="L135" i="33"/>
  <c r="L27" i="33"/>
  <c r="R134" i="33"/>
  <c r="L57" i="33"/>
  <c r="R35" i="3"/>
  <c r="L145" i="33"/>
  <c r="L47" i="33"/>
  <c r="L117" i="33"/>
  <c r="L37" i="33"/>
  <c r="L122" i="33"/>
  <c r="R50" i="3"/>
  <c r="R94" i="3"/>
  <c r="L35" i="3"/>
  <c r="R10" i="3"/>
  <c r="R129" i="3"/>
  <c r="R69" i="3"/>
  <c r="J22" i="3"/>
  <c r="R80" i="3"/>
  <c r="L34" i="3"/>
  <c r="R125" i="3"/>
  <c r="R102" i="33"/>
  <c r="L80" i="3"/>
  <c r="L20" i="3"/>
  <c r="L44" i="3"/>
  <c r="L99" i="3"/>
  <c r="L134" i="33"/>
  <c r="R30" i="3"/>
  <c r="R64" i="3"/>
  <c r="H147" i="33"/>
  <c r="R62" i="33"/>
  <c r="R95" i="3"/>
  <c r="L17" i="33"/>
  <c r="L112" i="33"/>
  <c r="J92" i="3"/>
  <c r="R34" i="3"/>
  <c r="R32" i="33"/>
  <c r="L70" i="3"/>
  <c r="L54" i="3"/>
  <c r="R52" i="33"/>
  <c r="R57" i="33"/>
  <c r="R112" i="33"/>
  <c r="R132" i="33"/>
  <c r="R92" i="33"/>
  <c r="R127" i="33"/>
  <c r="L40" i="29"/>
  <c r="P27" i="3"/>
  <c r="L9" i="3"/>
  <c r="R47" i="33"/>
  <c r="L79" i="3"/>
  <c r="L150" i="33"/>
  <c r="P92" i="3"/>
  <c r="L95" i="3"/>
  <c r="L55" i="3"/>
  <c r="R79" i="3"/>
  <c r="R122" i="33"/>
  <c r="R39" i="3"/>
  <c r="R44" i="3"/>
  <c r="J142" i="33"/>
  <c r="L139" i="33"/>
  <c r="L107" i="33"/>
  <c r="H152" i="33"/>
  <c r="R135" i="33"/>
  <c r="P137" i="33"/>
  <c r="R7" i="33"/>
  <c r="R27" i="33"/>
  <c r="R67" i="33"/>
  <c r="R12" i="33"/>
  <c r="L22" i="33"/>
  <c r="P152" i="33"/>
  <c r="R149" i="33"/>
  <c r="L42" i="33"/>
  <c r="R117" i="33"/>
  <c r="J137" i="33"/>
  <c r="L7" i="33"/>
  <c r="R97" i="33"/>
  <c r="R144" i="33"/>
  <c r="P147" i="33"/>
  <c r="R145" i="33"/>
  <c r="R82" i="33"/>
  <c r="R22" i="33"/>
  <c r="P142" i="33"/>
  <c r="R139" i="33"/>
  <c r="R150" i="33"/>
  <c r="R77" i="33"/>
  <c r="J147" i="33"/>
  <c r="L144" i="33"/>
  <c r="R140" i="33"/>
  <c r="R17" i="33"/>
  <c r="J152" i="33"/>
  <c r="L149" i="33"/>
  <c r="R72" i="33"/>
  <c r="R37" i="33"/>
  <c r="R87" i="33"/>
  <c r="L62" i="33"/>
  <c r="J102" i="3"/>
  <c r="L90" i="3"/>
  <c r="R24" i="3"/>
  <c r="R15" i="3"/>
  <c r="R120" i="3"/>
  <c r="R4" i="3"/>
  <c r="J135" i="3"/>
  <c r="R85" i="3"/>
  <c r="L14" i="3"/>
  <c r="J112" i="3"/>
  <c r="R59" i="3"/>
  <c r="R29" i="3"/>
  <c r="J117" i="3"/>
  <c r="R89" i="3"/>
  <c r="R115" i="3"/>
  <c r="L66" i="3"/>
  <c r="L56" i="3"/>
  <c r="R61" i="3"/>
  <c r="J151" i="3"/>
  <c r="L36" i="3"/>
  <c r="H136" i="3"/>
  <c r="H146" i="3"/>
  <c r="P141" i="3"/>
  <c r="L81" i="29"/>
  <c r="J12" i="3"/>
  <c r="J82" i="3"/>
  <c r="P12" i="3"/>
  <c r="L25" i="3"/>
  <c r="R105" i="3"/>
  <c r="R110" i="3"/>
  <c r="J62" i="3"/>
  <c r="R62" i="3" s="1"/>
  <c r="R59" i="29"/>
  <c r="L15" i="29"/>
  <c r="R15" i="29"/>
  <c r="J52" i="3"/>
  <c r="P17" i="3"/>
  <c r="R16" i="3"/>
  <c r="P22" i="3"/>
  <c r="J7" i="3"/>
  <c r="L91" i="3"/>
  <c r="J141" i="3"/>
  <c r="R106" i="3"/>
  <c r="L16" i="29"/>
  <c r="J146" i="3"/>
  <c r="L126" i="3"/>
  <c r="R76" i="29"/>
  <c r="L21" i="29"/>
  <c r="P12" i="29"/>
  <c r="L71" i="29"/>
  <c r="L91" i="29"/>
  <c r="L76" i="3"/>
  <c r="J22" i="29"/>
  <c r="L51" i="29"/>
  <c r="J42" i="29"/>
  <c r="L116" i="29"/>
  <c r="L131" i="29"/>
  <c r="J17" i="3"/>
  <c r="R11" i="3"/>
  <c r="P72" i="3"/>
  <c r="R96" i="29"/>
  <c r="R16" i="29"/>
  <c r="L121" i="29"/>
  <c r="L101" i="3"/>
  <c r="R76" i="3"/>
  <c r="R66" i="3"/>
  <c r="J32" i="3"/>
  <c r="H112" i="29"/>
  <c r="H107" i="29"/>
  <c r="L56" i="29"/>
  <c r="J67" i="3"/>
  <c r="L67" i="3" s="1"/>
  <c r="R56" i="3"/>
  <c r="R31" i="3"/>
  <c r="R131" i="29"/>
  <c r="L81" i="3"/>
  <c r="R81" i="3"/>
  <c r="R99" i="3"/>
  <c r="P82" i="3"/>
  <c r="H32" i="29"/>
  <c r="R40" i="29"/>
  <c r="L94" i="3"/>
  <c r="H12" i="3"/>
  <c r="R90" i="29"/>
  <c r="P92" i="29"/>
  <c r="J117" i="29"/>
  <c r="L120" i="3"/>
  <c r="R60" i="29"/>
  <c r="R119" i="3"/>
  <c r="P52" i="3"/>
  <c r="J77" i="3"/>
  <c r="L75" i="3"/>
  <c r="L60" i="29"/>
  <c r="P62" i="29"/>
  <c r="J107" i="3"/>
  <c r="R25" i="3"/>
  <c r="J127" i="3"/>
  <c r="P145" i="3"/>
  <c r="J122" i="3"/>
  <c r="L104" i="3"/>
  <c r="J57" i="3"/>
  <c r="J150" i="3"/>
  <c r="R104" i="3"/>
  <c r="P107" i="3"/>
  <c r="L45" i="3"/>
  <c r="P97" i="3"/>
  <c r="J62" i="29"/>
  <c r="L125" i="3"/>
  <c r="L4" i="3"/>
  <c r="L84" i="3"/>
  <c r="L114" i="3"/>
  <c r="J145" i="3"/>
  <c r="J72" i="3"/>
  <c r="R129" i="29"/>
  <c r="R114" i="3"/>
  <c r="L59" i="3"/>
  <c r="L59" i="29"/>
  <c r="H57" i="3"/>
  <c r="P135" i="3"/>
  <c r="P32" i="3"/>
  <c r="R70" i="3"/>
  <c r="L19" i="3"/>
  <c r="J132" i="29"/>
  <c r="H102" i="3"/>
  <c r="J139" i="3"/>
  <c r="R19" i="3"/>
  <c r="R26" i="3"/>
  <c r="L26" i="3"/>
  <c r="R41" i="3"/>
  <c r="L41" i="3"/>
  <c r="L96" i="3"/>
  <c r="R96" i="3"/>
  <c r="H141" i="3"/>
  <c r="L16" i="3"/>
  <c r="P151" i="3"/>
  <c r="J47" i="3"/>
  <c r="R71" i="29"/>
  <c r="J87" i="29"/>
  <c r="H151" i="29"/>
  <c r="R81" i="29"/>
  <c r="R46" i="29"/>
  <c r="L76" i="29"/>
  <c r="J42" i="3"/>
  <c r="L11" i="3"/>
  <c r="L46" i="3"/>
  <c r="R46" i="3"/>
  <c r="J136" i="3"/>
  <c r="R121" i="29"/>
  <c r="R6" i="3"/>
  <c r="P136" i="3"/>
  <c r="H117" i="29"/>
  <c r="R101" i="29"/>
  <c r="P122" i="3"/>
  <c r="J97" i="3"/>
  <c r="P7" i="3"/>
  <c r="J27" i="3"/>
  <c r="R71" i="3"/>
  <c r="P146" i="3"/>
  <c r="R126" i="3"/>
  <c r="R14" i="3"/>
  <c r="R100" i="3"/>
  <c r="H37" i="3"/>
  <c r="J134" i="3"/>
  <c r="J149" i="3"/>
  <c r="R45" i="3"/>
  <c r="R75" i="3"/>
  <c r="J144" i="3"/>
  <c r="R104" i="29"/>
  <c r="R90" i="3"/>
  <c r="R95" i="29"/>
  <c r="L85" i="29"/>
  <c r="R6" i="29"/>
  <c r="R65" i="29"/>
  <c r="H136" i="29"/>
  <c r="L96" i="29"/>
  <c r="L86" i="29"/>
  <c r="R106" i="29"/>
  <c r="J146" i="29"/>
  <c r="P122" i="29"/>
  <c r="J151" i="29"/>
  <c r="R41" i="29"/>
  <c r="R86" i="29"/>
  <c r="H17" i="29"/>
  <c r="L84" i="29"/>
  <c r="P149" i="3"/>
  <c r="H122" i="29"/>
  <c r="P134" i="3"/>
  <c r="P150" i="3"/>
  <c r="J140" i="3"/>
  <c r="J32" i="29"/>
  <c r="L5" i="29"/>
  <c r="R45" i="29"/>
  <c r="L100" i="29"/>
  <c r="J17" i="29"/>
  <c r="P42" i="3"/>
  <c r="R40" i="3"/>
  <c r="H7" i="3"/>
  <c r="R20" i="3"/>
  <c r="R55" i="3"/>
  <c r="P140" i="3"/>
  <c r="H82" i="29"/>
  <c r="L49" i="29"/>
  <c r="P132" i="3"/>
  <c r="R74" i="29"/>
  <c r="R75" i="29"/>
  <c r="P72" i="29"/>
  <c r="P42" i="29"/>
  <c r="L130" i="29"/>
  <c r="H117" i="3"/>
  <c r="P67" i="3"/>
  <c r="H72" i="3"/>
  <c r="R74" i="3"/>
  <c r="P77" i="3"/>
  <c r="P117" i="3"/>
  <c r="J141" i="29"/>
  <c r="P136" i="29"/>
  <c r="R51" i="29"/>
  <c r="R36" i="29"/>
  <c r="R11" i="29"/>
  <c r="R56" i="29"/>
  <c r="J136" i="29"/>
  <c r="L6" i="29"/>
  <c r="H146" i="29"/>
  <c r="L106" i="29"/>
  <c r="L41" i="29"/>
  <c r="P151" i="29"/>
  <c r="P146" i="29"/>
  <c r="L46" i="29"/>
  <c r="R80" i="29"/>
  <c r="H141" i="29"/>
  <c r="R111" i="29"/>
  <c r="L111" i="29"/>
  <c r="R21" i="29"/>
  <c r="P141" i="29"/>
  <c r="L101" i="29"/>
  <c r="R89" i="29"/>
  <c r="H62" i="29"/>
  <c r="L69" i="29"/>
  <c r="H132" i="29"/>
  <c r="J144" i="29"/>
  <c r="J145" i="29"/>
  <c r="J149" i="29"/>
  <c r="R130" i="29"/>
  <c r="L24" i="29"/>
  <c r="L64" i="29"/>
  <c r="L35" i="29"/>
  <c r="J97" i="29"/>
  <c r="R70" i="29"/>
  <c r="H7" i="29"/>
  <c r="L55" i="29"/>
  <c r="J82" i="29"/>
  <c r="H102" i="29"/>
  <c r="P145" i="29"/>
  <c r="R105" i="29"/>
  <c r="J72" i="29"/>
  <c r="L50" i="29"/>
  <c r="R29" i="29"/>
  <c r="L34" i="29"/>
  <c r="H87" i="29"/>
  <c r="R84" i="29"/>
  <c r="L14" i="29"/>
  <c r="R19" i="29"/>
  <c r="P22" i="29"/>
  <c r="J135" i="29"/>
  <c r="J140" i="29"/>
  <c r="J67" i="29"/>
  <c r="L67" i="29" s="1"/>
  <c r="L45" i="29"/>
  <c r="P127" i="29"/>
  <c r="R127" i="29" s="1"/>
  <c r="R124" i="29"/>
  <c r="R115" i="29"/>
  <c r="J92" i="29"/>
  <c r="R49" i="29"/>
  <c r="H47" i="29"/>
  <c r="L75" i="29"/>
  <c r="J77" i="29"/>
  <c r="H122" i="3"/>
  <c r="L119" i="3"/>
  <c r="R124" i="3"/>
  <c r="P139" i="3"/>
  <c r="P127" i="3"/>
  <c r="H127" i="3"/>
  <c r="L124" i="3"/>
  <c r="H42" i="3"/>
  <c r="H112" i="3"/>
  <c r="L109" i="3"/>
  <c r="H77" i="3"/>
  <c r="L74" i="3"/>
  <c r="H97" i="3"/>
  <c r="H22" i="3"/>
  <c r="H87" i="3"/>
  <c r="H107" i="3"/>
  <c r="R94" i="29"/>
  <c r="P77" i="29"/>
  <c r="J107" i="29"/>
  <c r="R35" i="29"/>
  <c r="L104" i="29"/>
  <c r="H150" i="3"/>
  <c r="L100" i="3"/>
  <c r="H32" i="3"/>
  <c r="L29" i="3"/>
  <c r="H132" i="3"/>
  <c r="L129" i="3"/>
  <c r="L49" i="3"/>
  <c r="H52" i="3"/>
  <c r="P87" i="3"/>
  <c r="R84" i="3"/>
  <c r="H135" i="3"/>
  <c r="H82" i="3"/>
  <c r="H47" i="3"/>
  <c r="H139" i="3"/>
  <c r="P17" i="29"/>
  <c r="R14" i="29"/>
  <c r="P149" i="29"/>
  <c r="P97" i="29"/>
  <c r="L79" i="29"/>
  <c r="H72" i="29"/>
  <c r="L115" i="29"/>
  <c r="L95" i="29"/>
  <c r="L90" i="29"/>
  <c r="R69" i="29"/>
  <c r="J37" i="29"/>
  <c r="H27" i="29"/>
  <c r="R39" i="29"/>
  <c r="L80" i="29"/>
  <c r="H52" i="29"/>
  <c r="H57" i="29"/>
  <c r="P112" i="29"/>
  <c r="H37" i="29"/>
  <c r="P132" i="29"/>
  <c r="R114" i="29"/>
  <c r="P117" i="29"/>
  <c r="L29" i="29"/>
  <c r="L30" i="29"/>
  <c r="H140" i="3"/>
  <c r="L15" i="3"/>
  <c r="H17" i="3"/>
  <c r="H145" i="3"/>
  <c r="H62" i="3"/>
  <c r="L60" i="3"/>
  <c r="L89" i="3"/>
  <c r="H92" i="3"/>
  <c r="H149" i="3"/>
  <c r="H144" i="3"/>
  <c r="L69" i="3"/>
  <c r="H27" i="3"/>
  <c r="L24" i="3"/>
  <c r="H134" i="3"/>
  <c r="J52" i="29"/>
  <c r="P144" i="3"/>
  <c r="R110" i="29"/>
  <c r="L110" i="29"/>
  <c r="R120" i="29"/>
  <c r="L120" i="29"/>
  <c r="R30" i="29"/>
  <c r="P32" i="29"/>
  <c r="L94" i="29"/>
  <c r="H97" i="29"/>
  <c r="L124" i="29"/>
  <c r="H127" i="29"/>
  <c r="L127" i="29" s="1"/>
  <c r="R55" i="29"/>
  <c r="P140" i="29"/>
  <c r="P57" i="29"/>
  <c r="H135" i="29"/>
  <c r="H12" i="29"/>
  <c r="H140" i="29"/>
  <c r="L4" i="29"/>
  <c r="J134" i="29"/>
  <c r="R4" i="29"/>
  <c r="J7" i="29"/>
  <c r="P107" i="29"/>
  <c r="L10" i="29"/>
  <c r="T81" i="19"/>
  <c r="T82" i="19"/>
  <c r="AB93" i="19"/>
  <c r="H145" i="29"/>
  <c r="L70" i="29"/>
  <c r="P47" i="29"/>
  <c r="P139" i="29"/>
  <c r="R44" i="29"/>
  <c r="L39" i="29"/>
  <c r="H42" i="29"/>
  <c r="L119" i="29"/>
  <c r="R119" i="29"/>
  <c r="J122" i="29"/>
  <c r="R85" i="29"/>
  <c r="P87" i="29"/>
  <c r="H149" i="29"/>
  <c r="H92" i="29"/>
  <c r="H77" i="29"/>
  <c r="H144" i="29"/>
  <c r="L54" i="29"/>
  <c r="R54" i="29"/>
  <c r="J57" i="29"/>
  <c r="H139" i="29"/>
  <c r="L129" i="29"/>
  <c r="L125" i="29"/>
  <c r="L44" i="29"/>
  <c r="J139" i="29"/>
  <c r="J47" i="29"/>
  <c r="P67" i="29"/>
  <c r="R64" i="29"/>
  <c r="R9" i="29"/>
  <c r="L9" i="29"/>
  <c r="J12" i="29"/>
  <c r="R109" i="29"/>
  <c r="L109" i="29"/>
  <c r="J112" i="29"/>
  <c r="P135" i="29"/>
  <c r="R5" i="29"/>
  <c r="P7" i="29"/>
  <c r="P27" i="29"/>
  <c r="P134" i="29"/>
  <c r="R24" i="29"/>
  <c r="L89" i="29"/>
  <c r="W82" i="19"/>
  <c r="R99" i="29"/>
  <c r="L99" i="29"/>
  <c r="J102" i="29"/>
  <c r="R50" i="29"/>
  <c r="P52" i="29"/>
  <c r="R25" i="29"/>
  <c r="L25" i="29"/>
  <c r="J27" i="29"/>
  <c r="R79" i="29"/>
  <c r="P82" i="29"/>
  <c r="P144" i="29"/>
  <c r="H22" i="29"/>
  <c r="L19" i="29"/>
  <c r="H134" i="29"/>
  <c r="H150" i="29"/>
  <c r="P102" i="29"/>
  <c r="R100" i="29"/>
  <c r="P150" i="29"/>
  <c r="R34" i="29"/>
  <c r="P37" i="29"/>
  <c r="J150" i="29"/>
  <c r="L74" i="29"/>
  <c r="U82" i="19" l="1"/>
  <c r="U81" i="19"/>
  <c r="U70" i="19"/>
  <c r="U71" i="19"/>
  <c r="U93" i="19"/>
  <c r="U92" i="19"/>
  <c r="L151" i="3"/>
  <c r="R141" i="3"/>
  <c r="L136" i="3"/>
  <c r="L132" i="3"/>
  <c r="R132" i="3"/>
  <c r="R57" i="3"/>
  <c r="R37" i="3"/>
  <c r="R112" i="3"/>
  <c r="L37" i="3"/>
  <c r="R102" i="3"/>
  <c r="R152" i="36"/>
  <c r="R22" i="3"/>
  <c r="R102" i="29"/>
  <c r="R147" i="36"/>
  <c r="R142" i="36"/>
  <c r="R137" i="36"/>
  <c r="P154" i="36"/>
  <c r="L137" i="36"/>
  <c r="J154" i="36"/>
  <c r="L154" i="36" s="1"/>
  <c r="L92" i="3"/>
  <c r="R149" i="3"/>
  <c r="L142" i="33"/>
  <c r="R47" i="3"/>
  <c r="L146" i="3"/>
  <c r="R151" i="3"/>
  <c r="R140" i="3"/>
  <c r="L32" i="3"/>
  <c r="R87" i="3"/>
  <c r="L87" i="3"/>
  <c r="L135" i="3"/>
  <c r="L22" i="3"/>
  <c r="L52" i="3"/>
  <c r="L147" i="33"/>
  <c r="H154" i="33"/>
  <c r="R135" i="3"/>
  <c r="L97" i="3"/>
  <c r="R127" i="3"/>
  <c r="R27" i="3"/>
  <c r="R92" i="3"/>
  <c r="L150" i="3"/>
  <c r="L102" i="3"/>
  <c r="L152" i="33"/>
  <c r="R152" i="33"/>
  <c r="J154" i="33"/>
  <c r="L137" i="33"/>
  <c r="P154" i="33"/>
  <c r="R137" i="33"/>
  <c r="R147" i="33"/>
  <c r="R142" i="33"/>
  <c r="L77" i="3"/>
  <c r="L145" i="3"/>
  <c r="L112" i="3"/>
  <c r="J152" i="3"/>
  <c r="R12" i="3"/>
  <c r="L117" i="3"/>
  <c r="R117" i="3"/>
  <c r="R134" i="3"/>
  <c r="R150" i="3"/>
  <c r="R72" i="3"/>
  <c r="R52" i="3"/>
  <c r="R82" i="3"/>
  <c r="L12" i="3"/>
  <c r="R17" i="3"/>
  <c r="L141" i="3"/>
  <c r="L82" i="3"/>
  <c r="L62" i="3"/>
  <c r="J147" i="3"/>
  <c r="R146" i="3"/>
  <c r="R134" i="29"/>
  <c r="R42" i="29"/>
  <c r="L22" i="29"/>
  <c r="R22" i="29"/>
  <c r="L62" i="29"/>
  <c r="R132" i="29"/>
  <c r="R151" i="29"/>
  <c r="L151" i="29"/>
  <c r="L42" i="29"/>
  <c r="R117" i="29"/>
  <c r="L72" i="3"/>
  <c r="R97" i="3"/>
  <c r="R77" i="3"/>
  <c r="L107" i="29"/>
  <c r="L127" i="3"/>
  <c r="L117" i="29"/>
  <c r="L42" i="3"/>
  <c r="R87" i="29"/>
  <c r="L7" i="3"/>
  <c r="R7" i="3"/>
  <c r="R67" i="3"/>
  <c r="L107" i="3"/>
  <c r="L32" i="29"/>
  <c r="L27" i="3"/>
  <c r="L17" i="3"/>
  <c r="R146" i="29"/>
  <c r="L146" i="29"/>
  <c r="R32" i="29"/>
  <c r="R17" i="29"/>
  <c r="R62" i="29"/>
  <c r="J137" i="3"/>
  <c r="R32" i="3"/>
  <c r="L57" i="3"/>
  <c r="L47" i="3"/>
  <c r="L82" i="29"/>
  <c r="J142" i="3"/>
  <c r="L122" i="3"/>
  <c r="R92" i="29"/>
  <c r="L87" i="29"/>
  <c r="L132" i="29"/>
  <c r="R122" i="3"/>
  <c r="R149" i="29"/>
  <c r="R107" i="3"/>
  <c r="R145" i="3"/>
  <c r="R136" i="3"/>
  <c r="P152" i="3"/>
  <c r="R37" i="29"/>
  <c r="L17" i="29"/>
  <c r="L140" i="3"/>
  <c r="L150" i="29"/>
  <c r="L141" i="29"/>
  <c r="R141" i="29"/>
  <c r="J147" i="29"/>
  <c r="L135" i="29"/>
  <c r="L145" i="29"/>
  <c r="R72" i="29"/>
  <c r="R97" i="29"/>
  <c r="L52" i="29"/>
  <c r="R145" i="29"/>
  <c r="L77" i="29"/>
  <c r="R82" i="29"/>
  <c r="R135" i="29"/>
  <c r="R67" i="29"/>
  <c r="L92" i="29"/>
  <c r="L97" i="29"/>
  <c r="L72" i="29"/>
  <c r="P137" i="3"/>
  <c r="R42" i="3"/>
  <c r="L27" i="29"/>
  <c r="R136" i="29"/>
  <c r="L136" i="29"/>
  <c r="R52" i="29"/>
  <c r="L102" i="29"/>
  <c r="H142" i="29"/>
  <c r="R107" i="29"/>
  <c r="R77" i="29"/>
  <c r="L140" i="29"/>
  <c r="L47" i="29"/>
  <c r="L57" i="29"/>
  <c r="R140" i="29"/>
  <c r="H137" i="29"/>
  <c r="L37" i="29"/>
  <c r="P147" i="3"/>
  <c r="R144" i="3"/>
  <c r="H147" i="3"/>
  <c r="L144" i="3"/>
  <c r="H152" i="3"/>
  <c r="L149" i="3"/>
  <c r="R139" i="3"/>
  <c r="P142" i="3"/>
  <c r="H147" i="29"/>
  <c r="H137" i="3"/>
  <c r="L134" i="3"/>
  <c r="H142" i="3"/>
  <c r="L139" i="3"/>
  <c r="P137" i="29"/>
  <c r="R7" i="29"/>
  <c r="L139" i="29"/>
  <c r="J142" i="29"/>
  <c r="H152" i="29"/>
  <c r="R139" i="29"/>
  <c r="P142" i="29"/>
  <c r="J137" i="29"/>
  <c r="L7" i="29"/>
  <c r="J152" i="29"/>
  <c r="R150" i="29"/>
  <c r="P152" i="29"/>
  <c r="P147" i="29"/>
  <c r="R144" i="29"/>
  <c r="R12" i="29"/>
  <c r="L12" i="29"/>
  <c r="R47" i="29"/>
  <c r="L144" i="29"/>
  <c r="L149" i="29"/>
  <c r="L112" i="29"/>
  <c r="R112" i="29"/>
  <c r="L134" i="29"/>
  <c r="R57" i="29"/>
  <c r="R27" i="29"/>
  <c r="L122" i="29"/>
  <c r="R122" i="29"/>
  <c r="J16" i="21"/>
  <c r="P64" i="21"/>
  <c r="P55" i="21"/>
  <c r="J130" i="21"/>
  <c r="P14" i="21"/>
  <c r="P131" i="21"/>
  <c r="J55" i="21"/>
  <c r="J54" i="21"/>
  <c r="P36" i="21"/>
  <c r="J59" i="21"/>
  <c r="P80" i="21"/>
  <c r="P70" i="21"/>
  <c r="J99" i="21"/>
  <c r="P76" i="21"/>
  <c r="J89" i="21"/>
  <c r="P94" i="21"/>
  <c r="J46" i="21"/>
  <c r="J110" i="21"/>
  <c r="AE20" i="21"/>
  <c r="J115" i="21"/>
  <c r="J84" i="21"/>
  <c r="AE34" i="21"/>
  <c r="J60" i="21"/>
  <c r="J109" i="21"/>
  <c r="J125" i="21"/>
  <c r="P71" i="21"/>
  <c r="P114" i="21"/>
  <c r="J79" i="21"/>
  <c r="J101" i="21"/>
  <c r="P60" i="21"/>
  <c r="P109" i="21"/>
  <c r="J121" i="21"/>
  <c r="J19" i="21"/>
  <c r="J86" i="21"/>
  <c r="P6" i="21"/>
  <c r="J11" i="21"/>
  <c r="P51" i="21"/>
  <c r="P115" i="21"/>
  <c r="J120" i="21"/>
  <c r="J49" i="21"/>
  <c r="P50" i="21"/>
  <c r="J129" i="21"/>
  <c r="J116" i="21"/>
  <c r="J119" i="21"/>
  <c r="P124" i="21"/>
  <c r="P119" i="21"/>
  <c r="P54" i="21"/>
  <c r="P110" i="21"/>
  <c r="P84" i="21"/>
  <c r="J114" i="21"/>
  <c r="AE20" i="3"/>
  <c r="P65" i="21"/>
  <c r="P46" i="21"/>
  <c r="P39" i="21"/>
  <c r="J25" i="21"/>
  <c r="J106" i="21"/>
  <c r="J111" i="21"/>
  <c r="J21" i="21"/>
  <c r="J100" i="21"/>
  <c r="P86" i="21"/>
  <c r="P75" i="21"/>
  <c r="J61" i="21"/>
  <c r="P15" i="21"/>
  <c r="P95" i="21"/>
  <c r="J10" i="21"/>
  <c r="J95" i="21"/>
  <c r="P89" i="21"/>
  <c r="P19" i="21"/>
  <c r="J64" i="21"/>
  <c r="J85" i="21"/>
  <c r="J56" i="21"/>
  <c r="J14" i="21"/>
  <c r="P130" i="21"/>
  <c r="P79" i="21"/>
  <c r="J34" i="21"/>
  <c r="J131" i="21"/>
  <c r="J76" i="21"/>
  <c r="P81" i="21"/>
  <c r="J24" i="21"/>
  <c r="P90" i="21"/>
  <c r="J39" i="21"/>
  <c r="J105" i="21"/>
  <c r="J69" i="21"/>
  <c r="J40" i="21"/>
  <c r="J70" i="21"/>
  <c r="P41" i="21"/>
  <c r="J9" i="21"/>
  <c r="P11" i="21"/>
  <c r="P21" i="21"/>
  <c r="P66" i="21"/>
  <c r="P49" i="21"/>
  <c r="J66" i="21"/>
  <c r="J15" i="21"/>
  <c r="J126" i="21"/>
  <c r="P116" i="21"/>
  <c r="P85" i="21"/>
  <c r="P101" i="21"/>
  <c r="J45" i="21"/>
  <c r="P20" i="21"/>
  <c r="P59" i="21"/>
  <c r="J31" i="21"/>
  <c r="P121" i="21"/>
  <c r="J104" i="21"/>
  <c r="P31" i="21"/>
  <c r="P40" i="21"/>
  <c r="P5" i="21"/>
  <c r="P29" i="21"/>
  <c r="J6" i="21"/>
  <c r="P111" i="21"/>
  <c r="J74" i="21"/>
  <c r="P96" i="21"/>
  <c r="J51" i="21"/>
  <c r="P9" i="21"/>
  <c r="P126" i="21"/>
  <c r="P106" i="21"/>
  <c r="P16" i="21"/>
  <c r="P61" i="21"/>
  <c r="J5" i="21"/>
  <c r="J81" i="21"/>
  <c r="P91" i="21"/>
  <c r="J124" i="21"/>
  <c r="P99" i="21"/>
  <c r="P56" i="21"/>
  <c r="AE19" i="21"/>
  <c r="J71" i="21"/>
  <c r="J29" i="21"/>
  <c r="J91" i="21"/>
  <c r="P45" i="21"/>
  <c r="J65" i="21"/>
  <c r="J26" i="21"/>
  <c r="P34" i="21"/>
  <c r="J4" i="21"/>
  <c r="J36" i="21"/>
  <c r="P30" i="21"/>
  <c r="J75" i="21"/>
  <c r="P129" i="21"/>
  <c r="P26" i="21"/>
  <c r="P100" i="21"/>
  <c r="P4" i="21"/>
  <c r="J94" i="21"/>
  <c r="P74" i="21"/>
  <c r="J44" i="21"/>
  <c r="J20" i="21"/>
  <c r="AE33" i="21"/>
  <c r="L75" i="21" l="1"/>
  <c r="T61" i="21"/>
  <c r="P146" i="21"/>
  <c r="R61" i="21"/>
  <c r="T114" i="21"/>
  <c r="P117" i="21"/>
  <c r="R114" i="21"/>
  <c r="R124" i="21"/>
  <c r="T124" i="21"/>
  <c r="P127" i="21"/>
  <c r="L131" i="21"/>
  <c r="T16" i="21"/>
  <c r="R16" i="21"/>
  <c r="P141" i="21"/>
  <c r="L100" i="21"/>
  <c r="T119" i="21"/>
  <c r="P122" i="21"/>
  <c r="R119" i="21"/>
  <c r="L124" i="21"/>
  <c r="J127" i="21"/>
  <c r="L127" i="21" s="1"/>
  <c r="R6" i="21"/>
  <c r="T6" i="21"/>
  <c r="P136" i="21"/>
  <c r="J112" i="21"/>
  <c r="L112" i="21" s="1"/>
  <c r="L109" i="21"/>
  <c r="T110" i="21"/>
  <c r="R110" i="21"/>
  <c r="L54" i="21"/>
  <c r="J57" i="21"/>
  <c r="L57" i="21" s="1"/>
  <c r="J92" i="21"/>
  <c r="L92" i="21" s="1"/>
  <c r="L89" i="21"/>
  <c r="J149" i="21"/>
  <c r="L149" i="21" s="1"/>
  <c r="L101" i="21"/>
  <c r="T76" i="21"/>
  <c r="R76" i="21"/>
  <c r="T129" i="21"/>
  <c r="R129" i="21"/>
  <c r="P132" i="21"/>
  <c r="T51" i="21"/>
  <c r="R51" i="21"/>
  <c r="L60" i="21"/>
  <c r="J145" i="21"/>
  <c r="L145" i="21" s="1"/>
  <c r="L85" i="21"/>
  <c r="P151" i="21"/>
  <c r="R91" i="21"/>
  <c r="T91" i="21"/>
  <c r="L49" i="21"/>
  <c r="J52" i="21"/>
  <c r="L52" i="21" s="1"/>
  <c r="P97" i="21"/>
  <c r="T94" i="21"/>
  <c r="R94" i="21"/>
  <c r="R66" i="21"/>
  <c r="T66" i="21"/>
  <c r="J42" i="21"/>
  <c r="L42" i="21" s="1"/>
  <c r="L39" i="21"/>
  <c r="T75" i="21"/>
  <c r="R75" i="21"/>
  <c r="L76" i="21"/>
  <c r="R64" i="21"/>
  <c r="P67" i="21"/>
  <c r="T64" i="21"/>
  <c r="R84" i="21"/>
  <c r="P87" i="21"/>
  <c r="T84" i="21"/>
  <c r="L114" i="21"/>
  <c r="J117" i="21"/>
  <c r="L117" i="21" s="1"/>
  <c r="J22" i="21"/>
  <c r="L22" i="21" s="1"/>
  <c r="L19" i="21"/>
  <c r="P140" i="21"/>
  <c r="R15" i="21"/>
  <c r="T15" i="21"/>
  <c r="L66" i="21"/>
  <c r="L95" i="21"/>
  <c r="J150" i="21"/>
  <c r="L150" i="21" s="1"/>
  <c r="P135" i="21"/>
  <c r="R5" i="21"/>
  <c r="T5" i="21"/>
  <c r="T89" i="21"/>
  <c r="R89" i="21"/>
  <c r="P92" i="21"/>
  <c r="P149" i="21"/>
  <c r="R121" i="21"/>
  <c r="T121" i="21"/>
  <c r="P112" i="21"/>
  <c r="R109" i="21"/>
  <c r="T109" i="21"/>
  <c r="R29" i="21"/>
  <c r="T29" i="21"/>
  <c r="P32" i="21"/>
  <c r="L74" i="21"/>
  <c r="J77" i="21"/>
  <c r="L77" i="21" s="1"/>
  <c r="T65" i="21"/>
  <c r="R65" i="21"/>
  <c r="L16" i="21"/>
  <c r="J141" i="21"/>
  <c r="L141" i="21" s="1"/>
  <c r="R71" i="21"/>
  <c r="T71" i="21"/>
  <c r="R36" i="21"/>
  <c r="T36" i="21"/>
  <c r="J67" i="21"/>
  <c r="L67" i="21" s="1"/>
  <c r="L64" i="21"/>
  <c r="R80" i="21"/>
  <c r="T80" i="21"/>
  <c r="T115" i="21"/>
  <c r="R115" i="21"/>
  <c r="P77" i="21"/>
  <c r="R74" i="21"/>
  <c r="T74" i="21"/>
  <c r="P134" i="21"/>
  <c r="P7" i="21"/>
  <c r="T4" i="21"/>
  <c r="R4" i="21"/>
  <c r="L84" i="21"/>
  <c r="J87" i="21"/>
  <c r="L87" i="21" s="1"/>
  <c r="L81" i="21"/>
  <c r="T19" i="21"/>
  <c r="P22" i="21"/>
  <c r="R19" i="21"/>
  <c r="R25" i="21"/>
  <c r="L25" i="21"/>
  <c r="T25" i="21"/>
  <c r="P57" i="21"/>
  <c r="R54" i="21"/>
  <c r="T54" i="21"/>
  <c r="L126" i="21"/>
  <c r="R101" i="21"/>
  <c r="T101" i="21"/>
  <c r="P82" i="21"/>
  <c r="T79" i="21"/>
  <c r="R79" i="21"/>
  <c r="L70" i="21"/>
  <c r="R41" i="21"/>
  <c r="T41" i="21"/>
  <c r="L55" i="21"/>
  <c r="L116" i="21"/>
  <c r="L91" i="21"/>
  <c r="J151" i="21"/>
  <c r="L151" i="21" s="1"/>
  <c r="R131" i="21"/>
  <c r="T131" i="21"/>
  <c r="L11" i="21"/>
  <c r="J146" i="21"/>
  <c r="L146" i="21" s="1"/>
  <c r="L61" i="21"/>
  <c r="R45" i="21"/>
  <c r="T45" i="21"/>
  <c r="T95" i="21"/>
  <c r="R95" i="21"/>
  <c r="L34" i="21"/>
  <c r="J37" i="21"/>
  <c r="L37" i="21" s="1"/>
  <c r="L21" i="21"/>
  <c r="J32" i="21"/>
  <c r="L32" i="21" s="1"/>
  <c r="L29" i="21"/>
  <c r="L36" i="21"/>
  <c r="T70" i="21"/>
  <c r="R70" i="21"/>
  <c r="T50" i="21"/>
  <c r="R50" i="21"/>
  <c r="L40" i="21"/>
  <c r="L45" i="21"/>
  <c r="L115" i="21"/>
  <c r="R31" i="21"/>
  <c r="T31" i="21"/>
  <c r="R26" i="21"/>
  <c r="T26" i="21"/>
  <c r="R100" i="21"/>
  <c r="T100" i="21"/>
  <c r="R111" i="21"/>
  <c r="T111" i="21"/>
  <c r="L104" i="21"/>
  <c r="R104" i="21"/>
  <c r="T104" i="21"/>
  <c r="J107" i="21"/>
  <c r="L107" i="21" s="1"/>
  <c r="L71" i="21"/>
  <c r="T81" i="21"/>
  <c r="R81" i="21"/>
  <c r="R55" i="21"/>
  <c r="T55" i="21"/>
  <c r="T49" i="21"/>
  <c r="P52" i="21"/>
  <c r="R49" i="21"/>
  <c r="L86" i="21"/>
  <c r="L26" i="21"/>
  <c r="T40" i="21"/>
  <c r="R40" i="21"/>
  <c r="L130" i="21"/>
  <c r="L111" i="21"/>
  <c r="T56" i="21"/>
  <c r="R56" i="21"/>
  <c r="T69" i="21"/>
  <c r="L69" i="21"/>
  <c r="R69" i="21"/>
  <c r="J72" i="21"/>
  <c r="L72" i="21" s="1"/>
  <c r="L119" i="21"/>
  <c r="J122" i="21"/>
  <c r="L122" i="21" s="1"/>
  <c r="L65" i="21"/>
  <c r="L31" i="21"/>
  <c r="R9" i="21"/>
  <c r="P12" i="21"/>
  <c r="T9" i="21"/>
  <c r="J7" i="21"/>
  <c r="L7" i="21" s="1"/>
  <c r="J134" i="21"/>
  <c r="L134" i="21" s="1"/>
  <c r="L4" i="21"/>
  <c r="L129" i="21"/>
  <c r="J132" i="21"/>
  <c r="L132" i="21" s="1"/>
  <c r="T14" i="21"/>
  <c r="P139" i="21"/>
  <c r="P17" i="21"/>
  <c r="R14" i="21"/>
  <c r="P145" i="21"/>
  <c r="T60" i="21"/>
  <c r="R60" i="21"/>
  <c r="J97" i="21"/>
  <c r="L97" i="21" s="1"/>
  <c r="L94" i="21"/>
  <c r="L46" i="21"/>
  <c r="R120" i="21"/>
  <c r="L120" i="21"/>
  <c r="T120" i="21"/>
  <c r="L121" i="21"/>
  <c r="L56" i="21"/>
  <c r="J82" i="21"/>
  <c r="L82" i="21" s="1"/>
  <c r="L79" i="21"/>
  <c r="R11" i="21"/>
  <c r="T11" i="21"/>
  <c r="T90" i="21"/>
  <c r="R90" i="21"/>
  <c r="P150" i="21"/>
  <c r="L51" i="21"/>
  <c r="T39" i="21"/>
  <c r="P42" i="21"/>
  <c r="R39" i="21"/>
  <c r="T86" i="21"/>
  <c r="R86" i="21"/>
  <c r="R34" i="21"/>
  <c r="T34" i="21"/>
  <c r="P37" i="21"/>
  <c r="T85" i="21"/>
  <c r="R85" i="21"/>
  <c r="J140" i="21"/>
  <c r="L140" i="21" s="1"/>
  <c r="L15" i="21"/>
  <c r="L20" i="21"/>
  <c r="T96" i="21"/>
  <c r="R96" i="21"/>
  <c r="J17" i="21"/>
  <c r="L17" i="21" s="1"/>
  <c r="J139" i="21"/>
  <c r="L139" i="21" s="1"/>
  <c r="L14" i="21"/>
  <c r="L110" i="21"/>
  <c r="R30" i="21"/>
  <c r="T30" i="21"/>
  <c r="R44" i="21"/>
  <c r="L44" i="21"/>
  <c r="J47" i="21"/>
  <c r="L47" i="21" s="1"/>
  <c r="T44" i="21"/>
  <c r="R130" i="21"/>
  <c r="T130" i="21"/>
  <c r="L5" i="21"/>
  <c r="J135" i="21"/>
  <c r="L135" i="21" s="1"/>
  <c r="R20" i="21"/>
  <c r="T20" i="21"/>
  <c r="R46" i="21"/>
  <c r="T46" i="21"/>
  <c r="L24" i="21"/>
  <c r="T24" i="21"/>
  <c r="R24" i="21"/>
  <c r="J27" i="21"/>
  <c r="L27" i="21" s="1"/>
  <c r="J62" i="21"/>
  <c r="L62" i="21" s="1"/>
  <c r="J144" i="21"/>
  <c r="L144" i="21" s="1"/>
  <c r="L59" i="21"/>
  <c r="R126" i="21"/>
  <c r="T126" i="21"/>
  <c r="T10" i="21"/>
  <c r="R10" i="21"/>
  <c r="L10" i="21"/>
  <c r="L105" i="21"/>
  <c r="T105" i="21"/>
  <c r="R105" i="21"/>
  <c r="L6" i="21"/>
  <c r="J136" i="21"/>
  <c r="L136" i="21" s="1"/>
  <c r="T106" i="21"/>
  <c r="R106" i="21"/>
  <c r="L106" i="21"/>
  <c r="R99" i="21"/>
  <c r="T99" i="21"/>
  <c r="P102" i="21"/>
  <c r="T21" i="21"/>
  <c r="R21" i="21"/>
  <c r="R116" i="21"/>
  <c r="T116" i="21"/>
  <c r="R125" i="21"/>
  <c r="L125" i="21"/>
  <c r="T125" i="21"/>
  <c r="L9" i="21"/>
  <c r="J12" i="21"/>
  <c r="L12" i="21" s="1"/>
  <c r="L99" i="21"/>
  <c r="J102" i="21"/>
  <c r="L102" i="21" s="1"/>
  <c r="R59" i="21"/>
  <c r="P144" i="21"/>
  <c r="T59" i="21"/>
  <c r="P62" i="21"/>
  <c r="T154" i="36"/>
  <c r="R154" i="36"/>
  <c r="L154" i="33"/>
  <c r="R152" i="3"/>
  <c r="L152" i="3"/>
  <c r="R154" i="33"/>
  <c r="T154" i="33"/>
  <c r="L147" i="3"/>
  <c r="R147" i="3"/>
  <c r="R137" i="3"/>
  <c r="L137" i="3"/>
  <c r="J154" i="3"/>
  <c r="R142" i="3"/>
  <c r="L142" i="3"/>
  <c r="L147" i="29"/>
  <c r="R147" i="29"/>
  <c r="R152" i="29"/>
  <c r="H154" i="29"/>
  <c r="L142" i="29"/>
  <c r="H154" i="3"/>
  <c r="P154" i="3"/>
  <c r="L152" i="29"/>
  <c r="R142" i="29"/>
  <c r="P154" i="29"/>
  <c r="R137" i="29"/>
  <c r="J154" i="29"/>
  <c r="L137" i="29"/>
  <c r="R117" i="21" l="1"/>
  <c r="R112" i="21"/>
  <c r="P142" i="21"/>
  <c r="T140" i="21"/>
  <c r="R140" i="21"/>
  <c r="T150" i="21"/>
  <c r="T117" i="21"/>
  <c r="R42" i="21"/>
  <c r="T145" i="21"/>
  <c r="T92" i="21"/>
  <c r="T17" i="21"/>
  <c r="R150" i="21"/>
  <c r="T32" i="21"/>
  <c r="R97" i="21"/>
  <c r="T57" i="21"/>
  <c r="T122" i="21"/>
  <c r="R57" i="21"/>
  <c r="J147" i="21"/>
  <c r="L147" i="21" s="1"/>
  <c r="R32" i="21"/>
  <c r="R135" i="21"/>
  <c r="R17" i="21"/>
  <c r="R122" i="21"/>
  <c r="R144" i="21"/>
  <c r="R47" i="21"/>
  <c r="T22" i="21"/>
  <c r="R22" i="21"/>
  <c r="T7" i="21"/>
  <c r="T82" i="21"/>
  <c r="R102" i="21"/>
  <c r="T47" i="21"/>
  <c r="P137" i="21"/>
  <c r="T102" i="21"/>
  <c r="P152" i="21"/>
  <c r="T112" i="21"/>
  <c r="T87" i="21"/>
  <c r="R146" i="21"/>
  <c r="T37" i="21"/>
  <c r="R12" i="21"/>
  <c r="R67" i="21"/>
  <c r="T107" i="21"/>
  <c r="R141" i="21"/>
  <c r="T72" i="21"/>
  <c r="T151" i="21"/>
  <c r="P147" i="21"/>
  <c r="T97" i="21"/>
  <c r="T67" i="21"/>
  <c r="R151" i="21"/>
  <c r="T135" i="21"/>
  <c r="T136" i="21"/>
  <c r="R139" i="21"/>
  <c r="R132" i="21"/>
  <c r="T27" i="21"/>
  <c r="T134" i="21"/>
  <c r="J137" i="21"/>
  <c r="L137" i="21" s="1"/>
  <c r="R87" i="21"/>
  <c r="T149" i="21"/>
  <c r="T42" i="21"/>
  <c r="J152" i="21"/>
  <c r="L152" i="21" s="1"/>
  <c r="T62" i="21"/>
  <c r="R145" i="21"/>
  <c r="T144" i="21"/>
  <c r="R77" i="21"/>
  <c r="J142" i="21"/>
  <c r="L142" i="21" s="1"/>
  <c r="R92" i="21"/>
  <c r="T141" i="21"/>
  <c r="R27" i="21"/>
  <c r="R136" i="21"/>
  <c r="T139" i="21"/>
  <c r="T132" i="21"/>
  <c r="T146" i="21"/>
  <c r="R82" i="21"/>
  <c r="R52" i="21"/>
  <c r="R72" i="21"/>
  <c r="T77" i="21"/>
  <c r="R107" i="21"/>
  <c r="R149" i="21"/>
  <c r="R37" i="21"/>
  <c r="R127" i="21"/>
  <c r="T127" i="21"/>
  <c r="R134" i="21"/>
  <c r="T12" i="21"/>
  <c r="R62" i="21"/>
  <c r="R7" i="21"/>
  <c r="T52" i="21"/>
  <c r="R154" i="3"/>
  <c r="L154" i="3"/>
  <c r="T154" i="3"/>
  <c r="L154" i="29"/>
  <c r="T154" i="29"/>
  <c r="R154" i="29"/>
  <c r="R147" i="21" l="1"/>
  <c r="T147" i="21"/>
  <c r="T152" i="21"/>
  <c r="T137" i="21"/>
  <c r="R152" i="21"/>
  <c r="P154" i="21"/>
  <c r="T142" i="21"/>
  <c r="R142" i="21"/>
  <c r="J154" i="21"/>
  <c r="L154" i="21" s="1"/>
  <c r="R137" i="21"/>
  <c r="R154" i="21" l="1"/>
  <c r="T154" i="2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Chidema Ekemezuma</author>
  </authors>
  <commentList>
    <comment ref="D84" authorId="0" shapeId="0" xr:uid="{72783792-3F01-4CE7-A59C-289734CAAE95}">
      <text>
        <r>
          <rPr>
            <b/>
            <sz val="9"/>
            <color indexed="81"/>
            <rFont val="Tahoma"/>
            <family val="2"/>
          </rPr>
          <t>Chidema Ekemezuma:</t>
        </r>
        <r>
          <rPr>
            <sz val="9"/>
            <color indexed="81"/>
            <rFont val="Tahoma"/>
            <family val="2"/>
          </rPr>
          <t xml:space="preserve">
Simplicity is IMR </t>
        </r>
      </text>
    </comment>
    <comment ref="D115" authorId="0" shapeId="0" xr:uid="{DAF4DCB5-9AAA-4D09-B060-878500B0EBBF}">
      <text>
        <r>
          <rPr>
            <b/>
            <sz val="9"/>
            <color indexed="81"/>
            <rFont val="Tahoma"/>
            <family val="2"/>
          </rPr>
          <t>Chidema Ekemezuma:</t>
        </r>
        <r>
          <rPr>
            <sz val="9"/>
            <color indexed="81"/>
            <rFont val="Tahoma"/>
            <family val="2"/>
          </rPr>
          <t xml:space="preserve">
Simplicity is IMR </t>
        </r>
      </text>
    </comment>
    <comment ref="D116" authorId="0" shapeId="0" xr:uid="{D8BBF2C2-6985-4AA3-84DB-5136846FB807}">
      <text>
        <r>
          <rPr>
            <b/>
            <sz val="9"/>
            <color indexed="81"/>
            <rFont val="Tahoma"/>
            <family val="2"/>
          </rPr>
          <t>Chidema Ekemezuma:</t>
        </r>
        <r>
          <rPr>
            <sz val="9"/>
            <color indexed="81"/>
            <rFont val="Tahoma"/>
            <family val="2"/>
          </rPr>
          <t xml:space="preserve">
Simplicity is IMR </t>
        </r>
      </text>
    </comment>
    <comment ref="D118" authorId="0" shapeId="0" xr:uid="{B2E47659-6452-4D72-81E6-47F0DAAD63AE}">
      <text>
        <r>
          <rPr>
            <b/>
            <sz val="9"/>
            <color indexed="81"/>
            <rFont val="Tahoma"/>
            <family val="2"/>
          </rPr>
          <t>Chidema Ekemezuma:</t>
        </r>
        <r>
          <rPr>
            <sz val="9"/>
            <color indexed="81"/>
            <rFont val="Tahoma"/>
            <family val="2"/>
          </rPr>
          <t xml:space="preserve">
Simplicity is IMR </t>
        </r>
      </text>
    </comment>
    <comment ref="A126" authorId="0" shapeId="0" xr:uid="{1BA56C7E-BA93-4E25-B25A-21813E189DCA}">
      <text>
        <r>
          <rPr>
            <b/>
            <sz val="9"/>
            <color indexed="81"/>
            <rFont val="Tahoma"/>
            <family val="2"/>
          </rPr>
          <t>Chidema Ekemezuma:</t>
        </r>
        <r>
          <rPr>
            <sz val="9"/>
            <color indexed="81"/>
            <rFont val="Tahoma"/>
            <family val="2"/>
          </rPr>
          <t xml:space="preserve">
Mixed Tenure Site - Just Ask Paul - monthly service. - Leasehold Ownership</t>
        </r>
      </text>
    </comment>
    <comment ref="D146" authorId="0" shapeId="0" xr:uid="{0EF2A7D4-26AF-42E2-B23E-E7320C71A1B8}">
      <text>
        <r>
          <rPr>
            <b/>
            <sz val="9"/>
            <color indexed="81"/>
            <rFont val="Tahoma"/>
            <family val="2"/>
          </rPr>
          <t>Chidema Ekemezuma:</t>
        </r>
        <r>
          <rPr>
            <sz val="9"/>
            <color indexed="81"/>
            <rFont val="Tahoma"/>
            <family val="2"/>
          </rPr>
          <t xml:space="preserve">
Simplicity is IMR </t>
        </r>
      </text>
    </comment>
    <comment ref="D193" authorId="0" shapeId="0" xr:uid="{07563459-AC36-4C3D-B460-BA5C54688EA2}">
      <text>
        <r>
          <rPr>
            <b/>
            <sz val="9"/>
            <color indexed="81"/>
            <rFont val="Tahoma"/>
            <family val="2"/>
          </rPr>
          <t>Chidema Ekemezuma:</t>
        </r>
        <r>
          <rPr>
            <sz val="9"/>
            <color indexed="81"/>
            <rFont val="Tahoma"/>
            <family val="2"/>
          </rPr>
          <t xml:space="preserve">
Simplicity is IMR </t>
        </r>
      </text>
    </comment>
    <comment ref="D446" authorId="0" shapeId="0" xr:uid="{54DF5A45-C7C5-4BE7-A467-A52F4F7DFAB3}">
      <text>
        <r>
          <rPr>
            <b/>
            <sz val="9"/>
            <color indexed="81"/>
            <rFont val="Tahoma"/>
            <family val="2"/>
          </rPr>
          <t>Chidema Ekemezuma:</t>
        </r>
        <r>
          <rPr>
            <sz val="9"/>
            <color indexed="81"/>
            <rFont val="Tahoma"/>
            <family val="2"/>
          </rPr>
          <t xml:space="preserve">
Simplicity is IMR </t>
        </r>
      </text>
    </comment>
    <comment ref="D516" authorId="0" shapeId="0" xr:uid="{F7DE29F4-3FE3-4D2F-8B2E-B504B390F1B1}">
      <text>
        <r>
          <rPr>
            <b/>
            <sz val="9"/>
            <color indexed="81"/>
            <rFont val="Tahoma"/>
            <family val="2"/>
          </rPr>
          <t>Chidema Ekemezuma:</t>
        </r>
        <r>
          <rPr>
            <sz val="9"/>
            <color indexed="81"/>
            <rFont val="Tahoma"/>
            <family val="2"/>
          </rPr>
          <t xml:space="preserve">
Simplicity is IMR </t>
        </r>
      </text>
    </comment>
    <comment ref="D523" authorId="0" shapeId="0" xr:uid="{9ECD8B65-0FD3-461F-8674-ABC5CC4A29E8}">
      <text>
        <r>
          <rPr>
            <b/>
            <sz val="9"/>
            <color indexed="81"/>
            <rFont val="Tahoma"/>
            <family val="2"/>
          </rPr>
          <t>Chidema Ekemezuma:</t>
        </r>
        <r>
          <rPr>
            <sz val="9"/>
            <color indexed="81"/>
            <rFont val="Tahoma"/>
            <family val="2"/>
          </rPr>
          <t xml:space="preserve">
Simplicity is IMR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Chidema Ekemezuma</author>
  </authors>
  <commentList>
    <comment ref="A105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Chidema Ekemezuma:</t>
        </r>
        <r>
          <rPr>
            <sz val="9"/>
            <color indexed="81"/>
            <rFont val="Tahoma"/>
            <family val="2"/>
          </rPr>
          <t xml:space="preserve">
Remove Carat House on both - confirmed with Erik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<sst xmlns="http://schemas.openxmlformats.org/spreadsheetml/2006/main" count="12300" uniqueCount="1450">
  <si>
    <t>Date:</t>
  </si>
  <si>
    <t>Target:</t>
  </si>
  <si>
    <t>Target</t>
  </si>
  <si>
    <t xml:space="preserve"> </t>
  </si>
  <si>
    <t>Inspections Due</t>
  </si>
  <si>
    <t>Inspections Completed</t>
  </si>
  <si>
    <t>% Sites Inspected Month to date</t>
  </si>
  <si>
    <t>Inspected sites to contract standard</t>
  </si>
  <si>
    <t>% Sites to Contract Standard - Month to date</t>
  </si>
  <si>
    <t>Team 1</t>
  </si>
  <si>
    <t>Internal</t>
  </si>
  <si>
    <t>External</t>
  </si>
  <si>
    <t>Landscaping</t>
  </si>
  <si>
    <t>Total</t>
  </si>
  <si>
    <t>Team 2</t>
  </si>
  <si>
    <t xml:space="preserve">Team 3 </t>
  </si>
  <si>
    <t xml:space="preserve">Team 4 </t>
  </si>
  <si>
    <t>Team 5</t>
  </si>
  <si>
    <t xml:space="preserve">Team 6 </t>
  </si>
  <si>
    <t xml:space="preserve">Team 7 </t>
  </si>
  <si>
    <t xml:space="preserve">Team 9 </t>
  </si>
  <si>
    <t>Team 10</t>
  </si>
  <si>
    <t xml:space="preserve">Team 13 </t>
  </si>
  <si>
    <t xml:space="preserve">Team 14 </t>
  </si>
  <si>
    <t>Team 18</t>
  </si>
  <si>
    <t>Team 19</t>
  </si>
  <si>
    <t xml:space="preserve">East Team 1 </t>
  </si>
  <si>
    <t>East Team 2</t>
  </si>
  <si>
    <t>East Team 3</t>
  </si>
  <si>
    <t>East Team 4</t>
  </si>
  <si>
    <t>North Team 1</t>
  </si>
  <si>
    <t>North Team 2</t>
  </si>
  <si>
    <t>North Team 3</t>
  </si>
  <si>
    <t>North Team 4</t>
  </si>
  <si>
    <t>North Team 5</t>
  </si>
  <si>
    <t>North Team 6</t>
  </si>
  <si>
    <t>North Team 7</t>
  </si>
  <si>
    <t>South Team 1</t>
  </si>
  <si>
    <t>South Team 2</t>
  </si>
  <si>
    <t>West Region</t>
  </si>
  <si>
    <t>South Region</t>
  </si>
  <si>
    <t>East Region</t>
  </si>
  <si>
    <t>North Region</t>
  </si>
  <si>
    <t>TOTALS</t>
  </si>
  <si>
    <t>NHG SITES - Housing</t>
  </si>
  <si>
    <t>Internal and External Cleaning</t>
  </si>
  <si>
    <t>Scheme/Estate</t>
  </si>
  <si>
    <t>Contractor</t>
  </si>
  <si>
    <t>Housing Officer - SFO</t>
  </si>
  <si>
    <t>Region</t>
  </si>
  <si>
    <t>Abbeydale House UB1</t>
  </si>
  <si>
    <t>Just Ask - Pat</t>
  </si>
  <si>
    <t>NV</t>
  </si>
  <si>
    <t>Sheltered Team 1</t>
  </si>
  <si>
    <t>Catherine McKim</t>
  </si>
  <si>
    <t>C and S</t>
  </si>
  <si>
    <t>Abercorn Way</t>
  </si>
  <si>
    <t>Chequers</t>
  </si>
  <si>
    <t>South</t>
  </si>
  <si>
    <t>Abercrombie Drive</t>
  </si>
  <si>
    <t>North</t>
  </si>
  <si>
    <t>Academy House</t>
  </si>
  <si>
    <t>Just Ask - Paul</t>
  </si>
  <si>
    <t>Acland Road</t>
  </si>
  <si>
    <t>West London Older Peoples Service</t>
  </si>
  <si>
    <t>Adastral North- Acklington  38c-48, Bovingdon, Hemswell, Heywood</t>
  </si>
  <si>
    <t>Caretaker</t>
  </si>
  <si>
    <t>Adastral North- Acklington 17-38b</t>
  </si>
  <si>
    <t>Adastral North- Externals</t>
  </si>
  <si>
    <t>Adastral North- Folkingham</t>
  </si>
  <si>
    <t>Adastral North- Trenchard</t>
  </si>
  <si>
    <t>Adastral South- Boscomb, Kenley, Martalsham, Wormwell</t>
  </si>
  <si>
    <t>BLR</t>
  </si>
  <si>
    <t>Adlington Close</t>
  </si>
  <si>
    <t>Agatha House</t>
  </si>
  <si>
    <t>Supported</t>
  </si>
  <si>
    <t>Michelle Perch</t>
  </si>
  <si>
    <t>Akabusi Close , Davidson Rd Estate</t>
  </si>
  <si>
    <t>ATB3</t>
  </si>
  <si>
    <t>Alan Kelly House W11</t>
  </si>
  <si>
    <t>Sheltered Team 2</t>
  </si>
  <si>
    <t>Lisnette Chitsaka</t>
  </si>
  <si>
    <t>Aldrington Road 14</t>
  </si>
  <si>
    <t>ATB10</t>
  </si>
  <si>
    <t>Aldrington Road 16</t>
  </si>
  <si>
    <t>Philo Newton</t>
  </si>
  <si>
    <t>Alexandra Court</t>
  </si>
  <si>
    <t>East</t>
  </si>
  <si>
    <t>Alexandra Road</t>
  </si>
  <si>
    <t xml:space="preserve">Rainbow </t>
  </si>
  <si>
    <t xml:space="preserve">Jermaine Morris </t>
  </si>
  <si>
    <t>All Saints House</t>
  </si>
  <si>
    <t>ATB2</t>
  </si>
  <si>
    <t xml:space="preserve">West </t>
  </si>
  <si>
    <t>All Saints Vicarage</t>
  </si>
  <si>
    <t>ATB13</t>
  </si>
  <si>
    <t>Alpine Road</t>
  </si>
  <si>
    <t>Ext LandQ/Int Chequers</t>
  </si>
  <si>
    <t>Amber Grove, 2-27 (Houses)</t>
  </si>
  <si>
    <t>Ambrose House</t>
  </si>
  <si>
    <t>STEVEN GOLDING</t>
  </si>
  <si>
    <t xml:space="preserve">Amethyst Walk 26-32 </t>
  </si>
  <si>
    <t>Angelica Court</t>
  </si>
  <si>
    <t>Angkor House</t>
  </si>
  <si>
    <t>Antilia Court, 1-12</t>
  </si>
  <si>
    <t>MEARS</t>
  </si>
  <si>
    <t>Aragon Court</t>
  </si>
  <si>
    <t>Archway Close</t>
  </si>
  <si>
    <t>Argyle Road 41</t>
  </si>
  <si>
    <t>Arragon Road</t>
  </si>
  <si>
    <t>Managing Agent (Viridian Housing) Optivo</t>
  </si>
  <si>
    <t>Artesian Road 25</t>
  </si>
  <si>
    <t>Ash Grove</t>
  </si>
  <si>
    <t>LOLA EDUN</t>
  </si>
  <si>
    <t>Naima Bakkali</t>
  </si>
  <si>
    <t>Astoria House Flats (1-55)</t>
  </si>
  <si>
    <t>Atlantic Road 65 / 67</t>
  </si>
  <si>
    <t>Atlantic Road 74,78,84</t>
  </si>
  <si>
    <t>Atwood House</t>
  </si>
  <si>
    <t>Managing Ag.</t>
  </si>
  <si>
    <t>Augustus Close</t>
  </si>
  <si>
    <t>ATB6</t>
  </si>
  <si>
    <t>Australia Road - Dorando Close</t>
  </si>
  <si>
    <t>ATB5</t>
  </si>
  <si>
    <t>Avalon Road</t>
  </si>
  <si>
    <t>ATB1</t>
  </si>
  <si>
    <t>Aylands Close, Flat 30-35</t>
  </si>
  <si>
    <t>Aztec Court</t>
  </si>
  <si>
    <t>Babell House</t>
  </si>
  <si>
    <t>Bailey Close 38-55</t>
  </si>
  <si>
    <t>Int Chequers/ Ext Metropolitan</t>
  </si>
  <si>
    <t>Balham Road</t>
  </si>
  <si>
    <t>Barking Road 40</t>
  </si>
  <si>
    <t>Managing Agent - Trinity Estates</t>
  </si>
  <si>
    <t>East Team 1</t>
  </si>
  <si>
    <t>Barkworth Road 45</t>
  </si>
  <si>
    <t>ATB14</t>
  </si>
  <si>
    <t>Barkworth Road 47</t>
  </si>
  <si>
    <t>Barnett Court</t>
  </si>
  <si>
    <t>Bartlett Crt</t>
  </si>
  <si>
    <t>Mariam Akorley</t>
  </si>
  <si>
    <t>Batwa House (2-21)</t>
  </si>
  <si>
    <t>Baxter Court</t>
  </si>
  <si>
    <t>Becklow Mews</t>
  </si>
  <si>
    <t>Beech Lodge</t>
  </si>
  <si>
    <t>Bell Lane, 51-65</t>
  </si>
  <si>
    <t>Bellamy Close, 1-19</t>
  </si>
  <si>
    <t>Benfleet Way 1-30 and 40-48 (Houses)</t>
  </si>
  <si>
    <t>Benfleet Way, Flat 32-38</t>
  </si>
  <si>
    <t>Bennetts Castle Lane</t>
  </si>
  <si>
    <t>Bentham House</t>
  </si>
  <si>
    <t>Bergen Square</t>
  </si>
  <si>
    <t>Hexagon</t>
  </si>
  <si>
    <t>Bicycle Mews</t>
  </si>
  <si>
    <t>Bidwell House, Forbes Close</t>
  </si>
  <si>
    <t>Biggs Court</t>
  </si>
  <si>
    <t>Crabtree</t>
  </si>
  <si>
    <t>Binley Road and Hurst Way</t>
  </si>
  <si>
    <t>Biraj House, Latimer Ave</t>
  </si>
  <si>
    <t>Residential Block Mgt Services</t>
  </si>
  <si>
    <t>Birchwood Court</t>
  </si>
  <si>
    <t>Birtwhistle House 150 Parnell</t>
  </si>
  <si>
    <t>Rafiat Iyiola</t>
  </si>
  <si>
    <t>Bishops 120</t>
  </si>
  <si>
    <t>Rose</t>
  </si>
  <si>
    <t>Beverley Jordon</t>
  </si>
  <si>
    <t>Blackwood Court</t>
  </si>
  <si>
    <t>Blair Close</t>
  </si>
  <si>
    <t>ATB9</t>
  </si>
  <si>
    <t>Blake Close</t>
  </si>
  <si>
    <t>Blakes Road</t>
  </si>
  <si>
    <t xml:space="preserve">Blandford Crescent </t>
  </si>
  <si>
    <t>Blaven Path</t>
  </si>
  <si>
    <t>Blenheim Cresent</t>
  </si>
  <si>
    <t>N/A</t>
  </si>
  <si>
    <t>Bloom Grove 20</t>
  </si>
  <si>
    <t>Bluebell Court 27-38</t>
  </si>
  <si>
    <t>Blush Court</t>
  </si>
  <si>
    <t>Bolney -Beaminster</t>
  </si>
  <si>
    <t>Elizabeth Nkpang</t>
  </si>
  <si>
    <t>Bolney -Blandford</t>
  </si>
  <si>
    <t>Bolney -Branksome</t>
  </si>
  <si>
    <t>Bolney -Charmouth</t>
  </si>
  <si>
    <t>Bolney -Corfe</t>
  </si>
  <si>
    <t>Bolney -Ensbury</t>
  </si>
  <si>
    <t>Bolney -Horton</t>
  </si>
  <si>
    <t>Bolney -Ibberton</t>
  </si>
  <si>
    <t>Bolney -Lulworth</t>
  </si>
  <si>
    <t>Bolney -Melbury</t>
  </si>
  <si>
    <t>Bolney -Melcombe</t>
  </si>
  <si>
    <t>Bolney -Pulham</t>
  </si>
  <si>
    <t>Bolney -Purbeck</t>
  </si>
  <si>
    <t>Bolney -Richborne Terrace *</t>
  </si>
  <si>
    <t>Bolney -Sherborne</t>
  </si>
  <si>
    <t>Bolney -Wareham</t>
  </si>
  <si>
    <t>Bolney -Weymouth</t>
  </si>
  <si>
    <t xml:space="preserve">Bovingdon 10-18 </t>
  </si>
  <si>
    <t xml:space="preserve">Bovingdon 1-9 </t>
  </si>
  <si>
    <t>Bow Common Lane Flats 1-3</t>
  </si>
  <si>
    <t xml:space="preserve">Bow Road </t>
  </si>
  <si>
    <t>Bow Road, 48, Flat A-E</t>
  </si>
  <si>
    <t>Brabazon Court, 7 Moreton St</t>
  </si>
  <si>
    <t>Bradshaw, Stockford, Padden Court Estate</t>
  </si>
  <si>
    <t>Paul Feneron</t>
  </si>
  <si>
    <t>Brampton</t>
  </si>
  <si>
    <t>Branoc Court</t>
  </si>
  <si>
    <t>Brenley</t>
  </si>
  <si>
    <t>tbc</t>
  </si>
  <si>
    <t>Briar Patch</t>
  </si>
  <si>
    <t>Brick House Lane</t>
  </si>
  <si>
    <t>Brickendon Lane</t>
  </si>
  <si>
    <t>Bridge Court, Flat 1-4</t>
  </si>
  <si>
    <t>Bridgewater Court Flats 1-6</t>
  </si>
  <si>
    <t>Brigstock Road 93</t>
  </si>
  <si>
    <t>Britannia House 38-45, 46-58 (Bedford)</t>
  </si>
  <si>
    <t>Brixton Water Lane</t>
  </si>
  <si>
    <t xml:space="preserve">Broadhurst Gardens, 27 </t>
  </si>
  <si>
    <t>Brodlove Lane, 50</t>
  </si>
  <si>
    <t>Brooklands</t>
  </si>
  <si>
    <t>Broom Court</t>
  </si>
  <si>
    <t>Broomfield Road (NCR6)</t>
  </si>
  <si>
    <t>Brunel House</t>
  </si>
  <si>
    <t>Bryant Avenue</t>
  </si>
  <si>
    <t>Bryant House E3</t>
  </si>
  <si>
    <t>Buckingham Mews, Buckingham Road</t>
  </si>
  <si>
    <t>Burford Road</t>
  </si>
  <si>
    <t>ATB4</t>
  </si>
  <si>
    <t>Burlington Close</t>
  </si>
  <si>
    <t>Burrard and Ingham</t>
  </si>
  <si>
    <t>Bute Gardens</t>
  </si>
  <si>
    <t>ATB7</t>
  </si>
  <si>
    <t xml:space="preserve">Buttercup Close 30-36 </t>
  </si>
  <si>
    <t>Buttermere House</t>
  </si>
  <si>
    <t>Byfield Close (52_56 and 57-59)</t>
  </si>
  <si>
    <t>Byrd Court</t>
  </si>
  <si>
    <t>Byron Court and Shelley House, Lanhill Rd</t>
  </si>
  <si>
    <t>Caesar House Garlinge Road, 1-8</t>
  </si>
  <si>
    <t>Cambridge Avenue, 44</t>
  </si>
  <si>
    <t>Cambridge Avenue, 54</t>
  </si>
  <si>
    <t>Cambridge Avenue, 56</t>
  </si>
  <si>
    <t>Cambridge Road 3</t>
  </si>
  <si>
    <t>Cambridge Road 4</t>
  </si>
  <si>
    <t>Camden Road, 169-175</t>
  </si>
  <si>
    <t xml:space="preserve">Camelot Court </t>
  </si>
  <si>
    <t>Campion Road 17-27</t>
  </si>
  <si>
    <t>Campion Road 29-31</t>
  </si>
  <si>
    <t xml:space="preserve">Campion Road 33-43 </t>
  </si>
  <si>
    <t xml:space="preserve">Campion Road 45-47 </t>
  </si>
  <si>
    <t xml:space="preserve">Campion Road 49-59 </t>
  </si>
  <si>
    <t>Camulus Close 3</t>
  </si>
  <si>
    <t>Canal Estate, Orpheus Hse and Miller House</t>
  </si>
  <si>
    <t>Carat House</t>
  </si>
  <si>
    <t>Carlton Vale 51-65</t>
  </si>
  <si>
    <t xml:space="preserve">Carmel House </t>
  </si>
  <si>
    <t>Carmichael Close</t>
  </si>
  <si>
    <t>Carnation/Daffodil Court/Granville Road</t>
  </si>
  <si>
    <t>IDM</t>
  </si>
  <si>
    <t>Carol Close, Flats 1-6, 7-12, 13-18 and 19-24</t>
  </si>
  <si>
    <t>Carter Close 28-43</t>
  </si>
  <si>
    <t>Cartermole Apartments</t>
  </si>
  <si>
    <t>Cassilis Road, 11</t>
  </si>
  <si>
    <t>Central Street</t>
  </si>
  <si>
    <t>Cephas Avenue, 15-18</t>
  </si>
  <si>
    <t>Cephas Avenue, 64-66</t>
  </si>
  <si>
    <t>Chadwick Drive 19</t>
  </si>
  <si>
    <t>Chambers Grove 38-42, 44-60, 61-65, 62-64, 67-83, 85-87, 99-105, 107-113</t>
  </si>
  <si>
    <t>Chambon Estate</t>
  </si>
  <si>
    <t>Champa Close 6-7 and 15-19</t>
  </si>
  <si>
    <t>Chandler Way and Sumner</t>
  </si>
  <si>
    <t>Southwark</t>
  </si>
  <si>
    <t>Chandlers Way</t>
  </si>
  <si>
    <t xml:space="preserve">Chelsea Crescent, 1-12 </t>
  </si>
  <si>
    <t>Cherry Lodge</t>
  </si>
  <si>
    <t>Cheshire Street 76</t>
  </si>
  <si>
    <t>Chesterton Road</t>
  </si>
  <si>
    <t>Cheviot Gardens</t>
  </si>
  <si>
    <t>Ivy Nwafor</t>
  </si>
  <si>
    <t>Chimes / Hg Street 184a and 196-204</t>
  </si>
  <si>
    <t>Chinook</t>
  </si>
  <si>
    <t>Chippenham Rd 39-41</t>
  </si>
  <si>
    <t>Chiswick High Rd 453-457</t>
  </si>
  <si>
    <t>Chopin House</t>
  </si>
  <si>
    <t>Church Court 123a</t>
  </si>
  <si>
    <t>Clare Crescent</t>
  </si>
  <si>
    <t>Claremont Road 1-13</t>
  </si>
  <si>
    <t>Clem Atlee Estate</t>
  </si>
  <si>
    <t>Managing Agent</t>
  </si>
  <si>
    <t>Clem Atlee- Play Area</t>
  </si>
  <si>
    <t>Cliff Court Flats 1-4</t>
  </si>
  <si>
    <t>Clifton Gardens,32,35,27,34</t>
  </si>
  <si>
    <t>Roxy Olaleye</t>
  </si>
  <si>
    <t>Cohen Court 38-53</t>
  </si>
  <si>
    <t>Colebrook Lane</t>
  </si>
  <si>
    <t>Collingwood House</t>
  </si>
  <si>
    <t>Colmore Ct, Watford Way</t>
  </si>
  <si>
    <t>Commerce Road</t>
  </si>
  <si>
    <t>Common Rise</t>
  </si>
  <si>
    <t>Compass House</t>
  </si>
  <si>
    <t>Managing Agent - Ballymore</t>
  </si>
  <si>
    <t>Coningham Ct</t>
  </si>
  <si>
    <t>Coningham Road 19</t>
  </si>
  <si>
    <t>Connaught Road 6-8</t>
  </si>
  <si>
    <t>Cooper Road, Flat 46-54, 56-58, 59-61, 62-70</t>
  </si>
  <si>
    <t>Copland Road, Flat 15-31</t>
  </si>
  <si>
    <t>Copland Road, Flat 59-65</t>
  </si>
  <si>
    <t>Corefield Close 1-14 (Houses)</t>
  </si>
  <si>
    <t>Cossar Mews</t>
  </si>
  <si>
    <t>Covent Garden Play Areas</t>
  </si>
  <si>
    <t>Coxswain Court</t>
  </si>
  <si>
    <t>Crocus Fields</t>
  </si>
  <si>
    <t>Cubitt Court</t>
  </si>
  <si>
    <t>Cubitt Street 6, 8, 12 and 14</t>
  </si>
  <si>
    <t>Curness St (f1-12)</t>
  </si>
  <si>
    <t>Curry Rise/Bray Road</t>
  </si>
  <si>
    <t>Int-Caretaker/Ext-Just Ask</t>
  </si>
  <si>
    <t>Curtis Francis House, Paper Mill Cl</t>
  </si>
  <si>
    <t>Cusak Road</t>
  </si>
  <si>
    <t>Cymbeline Crt</t>
  </si>
  <si>
    <t>Daisville Road</t>
  </si>
  <si>
    <t>Dalrymple Close</t>
  </si>
  <si>
    <t>Dao Court Block (1-21) (22-26 SO)</t>
  </si>
  <si>
    <t>Liane Brewer</t>
  </si>
  <si>
    <t>Dawn Close/Bath Road</t>
  </si>
  <si>
    <t>Dayak Court</t>
  </si>
  <si>
    <t>Deerfield and Rookery Estate</t>
  </si>
  <si>
    <t>Dobson Close</t>
  </si>
  <si>
    <t>Dormers Rise</t>
  </si>
  <si>
    <t>Dorritt Court Bonville Gardens</t>
  </si>
  <si>
    <t>Dorset Wharf</t>
  </si>
  <si>
    <t>Dorsey House</t>
  </si>
  <si>
    <t>Dragonfly Court 2-11</t>
  </si>
  <si>
    <t>Dragonfly Court 58-67</t>
  </si>
  <si>
    <t>Drayton Bridge</t>
  </si>
  <si>
    <t>Duchamp Court</t>
  </si>
  <si>
    <t>Dunbridge Street</t>
  </si>
  <si>
    <t>Durham Court</t>
  </si>
  <si>
    <t>Eagle Close 4</t>
  </si>
  <si>
    <t>East Acton Ct</t>
  </si>
  <si>
    <t>East India Dock Road, 156a</t>
  </si>
  <si>
    <t>East Ward Mews</t>
  </si>
  <si>
    <t>Eastbrook Close Estate</t>
  </si>
  <si>
    <t xml:space="preserve">Eastern Court </t>
  </si>
  <si>
    <t>Eaton Court</t>
  </si>
  <si>
    <t>Eden Court</t>
  </si>
  <si>
    <t>Edison Heights</t>
  </si>
  <si>
    <t>Edith Court</t>
  </si>
  <si>
    <t>Edmund Street (flats)</t>
  </si>
  <si>
    <t>Edmund Street (houses)</t>
  </si>
  <si>
    <t>Edward House</t>
  </si>
  <si>
    <t xml:space="preserve">Edwin House </t>
  </si>
  <si>
    <t>Eleanor Cross Road</t>
  </si>
  <si>
    <t>Elgin Avenue</t>
  </si>
  <si>
    <t>Elgin Avenue,270</t>
  </si>
  <si>
    <t>Elgin Avenue,276</t>
  </si>
  <si>
    <t>Elgin Close</t>
  </si>
  <si>
    <t>Elgin Resource Centre</t>
  </si>
  <si>
    <t>Elizabeth Tower, 43 Baxter Ave</t>
  </si>
  <si>
    <t>Elm House flats 1-13</t>
  </si>
  <si>
    <t>Elmgrove House</t>
  </si>
  <si>
    <t>Elsie Lane Court, 50 Westbourne Park Villas</t>
  </si>
  <si>
    <t>Elwyn Court (Broadfields)</t>
  </si>
  <si>
    <t xml:space="preserve">North </t>
  </si>
  <si>
    <t>Embassy Apartments</t>
  </si>
  <si>
    <t>Endeavour House</t>
  </si>
  <si>
    <t>Equiano House</t>
  </si>
  <si>
    <t>Ernest Harriss Hse</t>
  </si>
  <si>
    <t>Estcourt Rd</t>
  </si>
  <si>
    <t>Ethan Court</t>
  </si>
  <si>
    <t>Eton Avenue 53</t>
  </si>
  <si>
    <t xml:space="preserve">Eton Avenue, 45 </t>
  </si>
  <si>
    <t>Eugenia  Rd (f1-15)</t>
  </si>
  <si>
    <t>Evergreen Walk 16</t>
  </si>
  <si>
    <t>Ewhurst</t>
  </si>
  <si>
    <t>Ewhurst Close, 26 and 27</t>
  </si>
  <si>
    <t>Exchange Close 1-6 and 8-11 (Houses)</t>
  </si>
  <si>
    <t>Fairfax House</t>
  </si>
  <si>
    <t>Fanshawe House</t>
  </si>
  <si>
    <t>Farrow House and Firth House</t>
  </si>
  <si>
    <t>Premier – Mging Agents</t>
  </si>
  <si>
    <t>Fawcett / Finborough</t>
  </si>
  <si>
    <t>Fellowship House</t>
  </si>
  <si>
    <t>Fermoy Road 14</t>
  </si>
  <si>
    <t>Fir Grove Road (1)</t>
  </si>
  <si>
    <t>Managing Agent - TMO</t>
  </si>
  <si>
    <t>Firecrest Court</t>
  </si>
  <si>
    <t>Fishers Way</t>
  </si>
  <si>
    <t>Fitzpatrick House, Flats 1-8, Lukes Close</t>
  </si>
  <si>
    <t>Fitzwilliam House, 209 Higham Hill</t>
  </si>
  <si>
    <t>Fiveways Road (f1-4)</t>
  </si>
  <si>
    <t>Fleetwood House</t>
  </si>
  <si>
    <t>Florence Court 7-15</t>
  </si>
  <si>
    <t>Forge Square Flats 1-50</t>
  </si>
  <si>
    <t>Fothergill Drive Houses</t>
  </si>
  <si>
    <t>Fountain Court, Clearwater Terrace</t>
  </si>
  <si>
    <t>Foxmead Close</t>
  </si>
  <si>
    <t>Frambury Lane</t>
  </si>
  <si>
    <t>Fraser House</t>
  </si>
  <si>
    <t>Frederic Court</t>
  </si>
  <si>
    <t>Frere Court</t>
  </si>
  <si>
    <t>Jocelyne Wright</t>
  </si>
  <si>
    <t>Frobisher Court</t>
  </si>
  <si>
    <t>Frognal 112-122</t>
  </si>
  <si>
    <t xml:space="preserve">Frost Court </t>
  </si>
  <si>
    <t>Fullard House and Furlow House</t>
  </si>
  <si>
    <t>Gainsborough Court</t>
  </si>
  <si>
    <t>Galadriel Spring 1-11</t>
  </si>
  <si>
    <t>Gale House (f1-21)</t>
  </si>
  <si>
    <t>GARAGE 1- 5 Village Mews</t>
  </si>
  <si>
    <t>Garden Lane</t>
  </si>
  <si>
    <t xml:space="preserve">South </t>
  </si>
  <si>
    <t>Garland House (f1-21)</t>
  </si>
  <si>
    <t>Garwood Close 7-12 and 17-20,</t>
  </si>
  <si>
    <t>Gascoigne Close (fl1-58) mixed tenure</t>
  </si>
  <si>
    <t>Canonbury Mangement</t>
  </si>
  <si>
    <t>Gemini</t>
  </si>
  <si>
    <t xml:space="preserve">Genesis House </t>
  </si>
  <si>
    <t>George Court (505 Uxbridge Road)</t>
  </si>
  <si>
    <t>George Lowe Court, Bourne Terr, Northgate and Southgate</t>
  </si>
  <si>
    <t>Gilbert Court, Clarendon Way</t>
  </si>
  <si>
    <t>Gilpin House, Grange Rd</t>
  </si>
  <si>
    <t>Gilroy Road 1-4, 9-12, 16-18, 29-31</t>
  </si>
  <si>
    <t>Gilroy Road Houses</t>
  </si>
  <si>
    <t>Gipsy Road 175</t>
  </si>
  <si>
    <t>Glasshouse Fields, 71</t>
  </si>
  <si>
    <t>Glenthorne Road</t>
  </si>
  <si>
    <t>Lucy Whaley</t>
  </si>
  <si>
    <t>Gloucester Gardens 36-38</t>
  </si>
  <si>
    <t>Gloucester Terrace 26</t>
  </si>
  <si>
    <t>Goat Wharf / Knowling Court</t>
  </si>
  <si>
    <t>Goldhawk Road</t>
  </si>
  <si>
    <t>Goldsmith Avenue 80</t>
  </si>
  <si>
    <t>Goswell Rd</t>
  </si>
  <si>
    <t>Graham Street</t>
  </si>
  <si>
    <t>Granada Court, Sydney Rd</t>
  </si>
  <si>
    <t>Grand Junction Hse, Trinity House, Sanctuary Hse</t>
  </si>
  <si>
    <t>Grand Union and Woodfield Estate 3 and 4 Grand Union Close</t>
  </si>
  <si>
    <t>Grangeway</t>
  </si>
  <si>
    <t>Great Titchfield Street, 32</t>
  </si>
  <si>
    <t>Great Western Road 22-24</t>
  </si>
  <si>
    <t>Green Dragon Lane</t>
  </si>
  <si>
    <t>Green Lane 23</t>
  </si>
  <si>
    <t>Green Lanes 268</t>
  </si>
  <si>
    <t xml:space="preserve">Green Lanes 383 </t>
  </si>
  <si>
    <t>Greenacre Close Estate</t>
  </si>
  <si>
    <t>Grittleton Road</t>
  </si>
  <si>
    <t>Grove Lodge</t>
  </si>
  <si>
    <t>Grove Village</t>
  </si>
  <si>
    <t>Groveway 17</t>
  </si>
  <si>
    <t>Guinery Grove</t>
  </si>
  <si>
    <t>Gunter Grove</t>
  </si>
  <si>
    <t xml:space="preserve">Hall Barns 8-13 </t>
  </si>
  <si>
    <t>Hall Court</t>
  </si>
  <si>
    <t>Hamer Close Estate</t>
  </si>
  <si>
    <t>Hardel Rise 6</t>
  </si>
  <si>
    <t>Harkness Court Bonville Gardens</t>
  </si>
  <si>
    <t>Harlesden Road 335</t>
  </si>
  <si>
    <t>Harlow Court, Flat 1-8</t>
  </si>
  <si>
    <t>Harmony</t>
  </si>
  <si>
    <t>Managing Agent -TMO</t>
  </si>
  <si>
    <t>Harold Court</t>
  </si>
  <si>
    <t>Harriet Tubman Close</t>
  </si>
  <si>
    <t>Harrington Court</t>
  </si>
  <si>
    <t>Harrow Rd 331-333 and Kelly Mews</t>
  </si>
  <si>
    <t>Harrow Road 313-315</t>
  </si>
  <si>
    <t>Harrow Road 365</t>
  </si>
  <si>
    <t>Harrow Road 772-774 Flats A-K</t>
  </si>
  <si>
    <t>Hartnoll Street</t>
  </si>
  <si>
    <t>Hasty Close 1 and 3</t>
  </si>
  <si>
    <t>Hatch House</t>
  </si>
  <si>
    <t>Havering Street</t>
  </si>
  <si>
    <t>Hawke Road</t>
  </si>
  <si>
    <t>Haymill Close</t>
  </si>
  <si>
    <t>Hayward Close (13 blocks)</t>
  </si>
  <si>
    <t>Heathway Villas</t>
  </si>
  <si>
    <t>Hedger Street 1-19</t>
  </si>
  <si>
    <t>Helix Ct, Swanscombe Rd</t>
  </si>
  <si>
    <t>Helsinki Square</t>
  </si>
  <si>
    <t>Heneage Street, 15</t>
  </si>
  <si>
    <t>Heneage Street, 21</t>
  </si>
  <si>
    <t xml:space="preserve">Heron Mews 7, 17, 19 </t>
  </si>
  <si>
    <t>Hertford Rd</t>
  </si>
  <si>
    <t>Hesewell Close</t>
  </si>
  <si>
    <t>High St Cranford</t>
  </si>
  <si>
    <t>Highpoint Court 13 Sunningfields Road</t>
  </si>
  <si>
    <t>Hilary Drive</t>
  </si>
  <si>
    <t>Hilgrove Road,  10-12, 20-24</t>
  </si>
  <si>
    <t>Hill Top Court</t>
  </si>
  <si>
    <t>Hitherwood Court</t>
  </si>
  <si>
    <t>Hobby St, Van Lang, Makah, Modoc, Rabinal</t>
  </si>
  <si>
    <t>Holland Park Avenue</t>
  </si>
  <si>
    <t xml:space="preserve">Development - Managing Agent </t>
  </si>
  <si>
    <t>Honeywell Court</t>
  </si>
  <si>
    <t>Hopps Court</t>
  </si>
  <si>
    <t>Howard House, Flat 1-29, 161 Cleveland Street</t>
  </si>
  <si>
    <t>Hungerdown Court</t>
  </si>
  <si>
    <t>Hunt Close</t>
  </si>
  <si>
    <t>Int-Just Ask - Pat /Ext-L/A</t>
  </si>
  <si>
    <t>Hurst House, Deerhurst close</t>
  </si>
  <si>
    <t>Hussars Close</t>
  </si>
  <si>
    <t>Hyde Meadows</t>
  </si>
  <si>
    <t>Ibis Court, Dunlin Drive</t>
  </si>
  <si>
    <t xml:space="preserve">Ilford Hill </t>
  </si>
  <si>
    <t>Imperial Court, Clarendon Way</t>
  </si>
  <si>
    <t>Inglis Road 38-44</t>
  </si>
  <si>
    <t>Ingram Hse (flats 1-12)</t>
  </si>
  <si>
    <t>Innovation Close</t>
  </si>
  <si>
    <t>Inwen Court 22-27, 28-39, 40-45</t>
  </si>
  <si>
    <t>Iris Court 8-14</t>
  </si>
  <si>
    <t>Irving 34-36</t>
  </si>
  <si>
    <t>Island Road</t>
  </si>
  <si>
    <t xml:space="preserve">Iverson Road 28 </t>
  </si>
  <si>
    <t>Iverson Road 49</t>
  </si>
  <si>
    <t>Iverson Road, 200</t>
  </si>
  <si>
    <t>Ivory Court</t>
  </si>
  <si>
    <t>Jack Andrews Drive</t>
  </si>
  <si>
    <t>Jacob Court 1-21,</t>
  </si>
  <si>
    <t>Jade Close, 1-17 (Houses)</t>
  </si>
  <si>
    <t>James and Bellevue Estate</t>
  </si>
  <si>
    <t>Jasmin Lodge</t>
  </si>
  <si>
    <t>Jeffcut Road</t>
  </si>
  <si>
    <t>Jennings Way</t>
  </si>
  <si>
    <t>Jessel Drive</t>
  </si>
  <si>
    <t>Jet Court, Ivory Court, Diamond Crt, Ruby Way</t>
  </si>
  <si>
    <t>John Kavanagh Crt, Magdalen St</t>
  </si>
  <si>
    <t>John Wesley Close</t>
  </si>
  <si>
    <t>Johnson Court, Pollards Close</t>
  </si>
  <si>
    <t>Jubilee Close</t>
  </si>
  <si>
    <t>Juliette Court</t>
  </si>
  <si>
    <t>Juneberry Court</t>
  </si>
  <si>
    <t>Katherine House</t>
  </si>
  <si>
    <t>Kellet Road 87</t>
  </si>
  <si>
    <t>Kelley House, Mill Rd</t>
  </si>
  <si>
    <t>Kemble House</t>
  </si>
  <si>
    <t>Kempley Court</t>
  </si>
  <si>
    <t>Kenilworth Gardens</t>
  </si>
  <si>
    <t>Kensington Gardens Square 44</t>
  </si>
  <si>
    <t>Kerrington Court</t>
  </si>
  <si>
    <t>Kestrel Lodge</t>
  </si>
  <si>
    <t>Khalsa Court, 1-7 and 8-13,</t>
  </si>
  <si>
    <t xml:space="preserve">Kilburn High Road, 50-52 </t>
  </si>
  <si>
    <t>King Henry Walk 11a</t>
  </si>
  <si>
    <t>Kings Court</t>
  </si>
  <si>
    <t>Kingsbury Estate - Sedum Close</t>
  </si>
  <si>
    <t>Kirkfield Close</t>
  </si>
  <si>
    <t>Lacey Court 1 Runway Close</t>
  </si>
  <si>
    <t>Laitwood Road 3</t>
  </si>
  <si>
    <t>Home Options</t>
  </si>
  <si>
    <t>Lampton Road (Mitton Court and Clovelly Road)</t>
  </si>
  <si>
    <t>Lancelot Court</t>
  </si>
  <si>
    <t>Langhedge Lane 294-296 and 298-308</t>
  </si>
  <si>
    <t>Lanigan Drive</t>
  </si>
  <si>
    <t>Laurel House</t>
  </si>
  <si>
    <t>Laurence Court, Shortlands Rd</t>
  </si>
  <si>
    <t>Laxton Place, 9, 16-33</t>
  </si>
  <si>
    <t>Learner Drive</t>
  </si>
  <si>
    <t>Leavesden 1-9</t>
  </si>
  <si>
    <t>Ledalle House</t>
  </si>
  <si>
    <t>Ernestine Ngringeh</t>
  </si>
  <si>
    <t>Len Williams Crt</t>
  </si>
  <si>
    <t>Lena Gardens</t>
  </si>
  <si>
    <t xml:space="preserve">Leonard Court 2- 10 and 11-20 </t>
  </si>
  <si>
    <t>Lewins Court</t>
  </si>
  <si>
    <t>Limefields</t>
  </si>
  <si>
    <t>Lindhill Close</t>
  </si>
  <si>
    <t>Lingwood</t>
  </si>
  <si>
    <t>Linwood Crescent</t>
  </si>
  <si>
    <t>Lionel Mansions</t>
  </si>
  <si>
    <t>Lions Close 41-47</t>
  </si>
  <si>
    <t>Lithos Rd - Estate</t>
  </si>
  <si>
    <t>Managed by Odu-Dua</t>
  </si>
  <si>
    <t>Lithos Road 4</t>
  </si>
  <si>
    <t>Little Hillsborough House</t>
  </si>
  <si>
    <t>Little Ley</t>
  </si>
  <si>
    <t>Lloyd Mews</t>
  </si>
  <si>
    <t>Lockhart Court</t>
  </si>
  <si>
    <t>Lomond Court</t>
  </si>
  <si>
    <t>Longcroft Lane 121-127, 133-139, 145-151</t>
  </si>
  <si>
    <t>Longford Street,  26, 11-15</t>
  </si>
  <si>
    <t xml:space="preserve">Longford Street, 28 </t>
  </si>
  <si>
    <t>Lunardi Court</t>
  </si>
  <si>
    <t>Lyndhurst Hall</t>
  </si>
  <si>
    <t>Lynford French House</t>
  </si>
  <si>
    <t>Magdalene Evans Court</t>
  </si>
  <si>
    <t>Major Close (Styles Gdns), Minet Rd</t>
  </si>
  <si>
    <t>Mallard Close, London</t>
  </si>
  <si>
    <t>Mallards Rise</t>
  </si>
  <si>
    <t>Mansfield Road 11</t>
  </si>
  <si>
    <t>Maple House</t>
  </si>
  <si>
    <t>Marble Drive Flats 1-6 Nos 35, 37, 41, 43, 45</t>
  </si>
  <si>
    <t>Marble Drive, 1-48 (Houses)</t>
  </si>
  <si>
    <t>Marble Drive, 2, Flat 1-6</t>
  </si>
  <si>
    <t>Marcus Garvey Mews</t>
  </si>
  <si>
    <t>Marlborough Road</t>
  </si>
  <si>
    <t>Martingale House</t>
  </si>
  <si>
    <t>Managing Ag. Ballymore</t>
  </si>
  <si>
    <t>Mary Barfield House</t>
  </si>
  <si>
    <t>Mason Close 19-29</t>
  </si>
  <si>
    <t>Masters Close</t>
  </si>
  <si>
    <t>Matching Court Merchant Street</t>
  </si>
  <si>
    <t xml:space="preserve">Mathieson House </t>
  </si>
  <si>
    <t>Matisse Court</t>
  </si>
  <si>
    <t>Maugham House, 26 Porden Rd</t>
  </si>
  <si>
    <t>Maurice House</t>
  </si>
  <si>
    <t>Maya Close 1-5 and 1</t>
  </si>
  <si>
    <t>Maya Place 15-23, 91-105 Durnsford Rd</t>
  </si>
  <si>
    <t>Mayall Close</t>
  </si>
  <si>
    <t>Mayflower House</t>
  </si>
  <si>
    <t xml:space="preserve">Meadowbrook Ct 14-21, 22-29, </t>
  </si>
  <si>
    <t>Merton Court</t>
  </si>
  <si>
    <t>Merton Rd</t>
  </si>
  <si>
    <t>Meryls Court</t>
  </si>
  <si>
    <t>Managing Ag. Hallmark</t>
  </si>
  <si>
    <t>Michelle House, Sinclair Grove</t>
  </si>
  <si>
    <t>Middleton Court, Flat 1-6</t>
  </si>
  <si>
    <t>Mildmays 20-26</t>
  </si>
  <si>
    <t xml:space="preserve">Abimbola Thompson </t>
  </si>
  <si>
    <t>Mildmays 6</t>
  </si>
  <si>
    <t>Mildmays 73</t>
  </si>
  <si>
    <t>SheLtered Team 2</t>
  </si>
  <si>
    <t>Timi Aderotimi</t>
  </si>
  <si>
    <t>Millbrook Court</t>
  </si>
  <si>
    <t>Milton Green 14-21</t>
  </si>
  <si>
    <t>Mimosa Lodge</t>
  </si>
  <si>
    <t>Monro Court</t>
  </si>
  <si>
    <t>Montego Close 1-5</t>
  </si>
  <si>
    <t>Morgan Close</t>
  </si>
  <si>
    <t>Mornington Grove, 16a, 16b-17a, 17b-17c</t>
  </si>
  <si>
    <t>Mornington Grove, 23-24</t>
  </si>
  <si>
    <t>Moyniham Drive 1-6, 51-61</t>
  </si>
  <si>
    <t>Mulberry Crescent</t>
  </si>
  <si>
    <t>Munster Court</t>
  </si>
  <si>
    <t>Mustang</t>
  </si>
  <si>
    <t>Myddleton Road</t>
  </si>
  <si>
    <t>Neil Wates Crescent</t>
  </si>
  <si>
    <t>Nelson Close, London</t>
  </si>
  <si>
    <t>Nemor Court (Broadfields)</t>
  </si>
  <si>
    <t>Nene Gardens</t>
  </si>
  <si>
    <t>Neutron Tower</t>
  </si>
  <si>
    <t>Nevern Place</t>
  </si>
  <si>
    <t>Nevern Road</t>
  </si>
  <si>
    <t>New Fieldways</t>
  </si>
  <si>
    <t>Newark House</t>
  </si>
  <si>
    <t>Newfield Rise/Worcester Close</t>
  </si>
  <si>
    <t>Newton Close</t>
  </si>
  <si>
    <t>Nez Pearce Court flats a-f</t>
  </si>
  <si>
    <t>Nickleby Road</t>
  </si>
  <si>
    <t>Nicoll Road 16</t>
  </si>
  <si>
    <t>Nicoll Road 37</t>
  </si>
  <si>
    <t>Nicoll Road 44</t>
  </si>
  <si>
    <t>Nicoll Road 9-13</t>
  </si>
  <si>
    <t>Norfolk Court</t>
  </si>
  <si>
    <t>Norland North</t>
  </si>
  <si>
    <t>Norland South</t>
  </si>
  <si>
    <t>Remi Lawal</t>
  </si>
  <si>
    <t>North Circular (Sienna, Spiral, Graves)</t>
  </si>
  <si>
    <t xml:space="preserve">North Gower </t>
  </si>
  <si>
    <t>Nottingham Road</t>
  </si>
  <si>
    <t>Novello Street</t>
  </si>
  <si>
    <t>Oak Square</t>
  </si>
  <si>
    <t>ATB18</t>
  </si>
  <si>
    <t>Oak Tree Close</t>
  </si>
  <si>
    <t>Oakleigh Rd South, Leyland Court (Flats 1-10)</t>
  </si>
  <si>
    <t>Olympus Grove</t>
  </si>
  <si>
    <t>Omega House</t>
  </si>
  <si>
    <t>Oriel House, Flats 1-20, 40 Priory Park Road</t>
  </si>
  <si>
    <t>Orient St 2-8</t>
  </si>
  <si>
    <t>Ormrod Court W11</t>
  </si>
  <si>
    <t>Osborne Mansions</t>
  </si>
  <si>
    <t>Osier Cresc 207-229, 199-205, 231-249</t>
  </si>
  <si>
    <t>Oslo Square</t>
  </si>
  <si>
    <t>Osmond Close</t>
  </si>
  <si>
    <t>Ouseley House</t>
  </si>
  <si>
    <t>Overton Road flats 1-5</t>
  </si>
  <si>
    <t>Oxford Road, 18, 22, 26, 48</t>
  </si>
  <si>
    <t>Pamela House</t>
  </si>
  <si>
    <t>Pandian Way</t>
  </si>
  <si>
    <t>Pankhurst House (Gleneagle Rd)</t>
  </si>
  <si>
    <t xml:space="preserve">Panshanger 1-9 </t>
  </si>
  <si>
    <t>Panton Close</t>
  </si>
  <si>
    <t>Paragon</t>
  </si>
  <si>
    <t>Parison Close</t>
  </si>
  <si>
    <t>Alison Harty</t>
  </si>
  <si>
    <t>Park Rd 23</t>
  </si>
  <si>
    <t>Parkwest</t>
  </si>
  <si>
    <t>Parr Court, Station Lane</t>
  </si>
  <si>
    <t>HOUSING TEAM IMR</t>
  </si>
  <si>
    <t>Pascal Way</t>
  </si>
  <si>
    <t>Patience Court</t>
  </si>
  <si>
    <t>Peacehaven Court Flats 1-8</t>
  </si>
  <si>
    <t>Peachy Close</t>
  </si>
  <si>
    <t>Pearl Close</t>
  </si>
  <si>
    <t>Pearl Close 4-11 (Houses)</t>
  </si>
  <si>
    <t>Pearl Close Flats 1-6, Nos 11 and 12</t>
  </si>
  <si>
    <t>Pearson Way</t>
  </si>
  <si>
    <t>Peckham Rye</t>
  </si>
  <si>
    <t xml:space="preserve">Pembury House High Road 593 </t>
  </si>
  <si>
    <t>Pennington Drive</t>
  </si>
  <si>
    <t>Penniston Close</t>
  </si>
  <si>
    <t>Penny Royal, Flats 1- 31</t>
  </si>
  <si>
    <t>Penstemon Close</t>
  </si>
  <si>
    <t>Perrin House</t>
  </si>
  <si>
    <t>Perryman House block 1-20</t>
  </si>
  <si>
    <t>Petros Gardens</t>
  </si>
  <si>
    <t>Pique Mews</t>
  </si>
  <si>
    <t>Plumbers Row, 17-19, 45-58 Jacobs Court</t>
  </si>
  <si>
    <t>Polaris Apartments</t>
  </si>
  <si>
    <t>Pollards Close</t>
  </si>
  <si>
    <t>Poplar High St, 262</t>
  </si>
  <si>
    <t>Porters Way (Hanson Close)</t>
  </si>
  <si>
    <t xml:space="preserve">Postmasters Lodge, Flats 9-20 </t>
  </si>
  <si>
    <t xml:space="preserve">Potters Lane </t>
  </si>
  <si>
    <t>Pound Lane/Bertie Road</t>
  </si>
  <si>
    <t>Powis Square 21-22</t>
  </si>
  <si>
    <t>Powis Square 33</t>
  </si>
  <si>
    <t>Prentice Court</t>
  </si>
  <si>
    <t>Presentation Mews</t>
  </si>
  <si>
    <t>Preston Road</t>
  </si>
  <si>
    <t>Price House, Oliver Rd</t>
  </si>
  <si>
    <t>Priestley Road 27-35 and 37-41</t>
  </si>
  <si>
    <t>Princes mews</t>
  </si>
  <si>
    <t>Priory Road 69</t>
  </si>
  <si>
    <t>Quartz Court</t>
  </si>
  <si>
    <t>Queens Road Scheme</t>
  </si>
  <si>
    <t>Queenstown Road</t>
  </si>
  <si>
    <t>Quex Road 24 and 26, 29-35</t>
  </si>
  <si>
    <t>Quinn Court (Broadfields)</t>
  </si>
  <si>
    <t>Rachael Court, Hall St</t>
  </si>
  <si>
    <t>Radnor Court</t>
  </si>
  <si>
    <t>Raleigh Court</t>
  </si>
  <si>
    <t>Cleanscapes</t>
  </si>
  <si>
    <t>Ramsden Road</t>
  </si>
  <si>
    <t>Ramsey Court 1-16</t>
  </si>
  <si>
    <t>Ramsons Court</t>
  </si>
  <si>
    <t>Randolph Avenue, 124-164</t>
  </si>
  <si>
    <t>Rannoch Close</t>
  </si>
  <si>
    <t>Ravenscourt Pk Mansions</t>
  </si>
  <si>
    <t>Raymouth House</t>
  </si>
  <si>
    <t>Raynard Mills (Beldam and Glenroy)</t>
  </si>
  <si>
    <t>Reverdy House</t>
  </si>
  <si>
    <t>Richardson Gardens</t>
  </si>
  <si>
    <t>Riley Court (NW7)</t>
  </si>
  <si>
    <t>Rochford House</t>
  </si>
  <si>
    <t>Roebuck House</t>
  </si>
  <si>
    <t>Roger Stone Court 2-24 and 25-48</t>
  </si>
  <si>
    <t>Rooks Hill</t>
  </si>
  <si>
    <t>Rootes</t>
  </si>
  <si>
    <t>William Sutton</t>
  </si>
  <si>
    <t>Rosa Morrison Day Centre</t>
  </si>
  <si>
    <t>Excellent</t>
  </si>
  <si>
    <t>Rose Court (N10)</t>
  </si>
  <si>
    <t>Rose Lodge</t>
  </si>
  <si>
    <t>Rosefinch Court</t>
  </si>
  <si>
    <t>Rowntree Close</t>
  </si>
  <si>
    <t>Roxborough Heights, Flats 90-123</t>
  </si>
  <si>
    <t xml:space="preserve">Royston Court </t>
  </si>
  <si>
    <t>Rutland Park Mansions Flats 1-24 and 31-36</t>
  </si>
  <si>
    <t>Salamanca</t>
  </si>
  <si>
    <t>Sammi Court - 22-30</t>
  </si>
  <si>
    <t>San House 2-14 and 18-34</t>
  </si>
  <si>
    <t>Sandalwood House</t>
  </si>
  <si>
    <t>Sapphire Close 11-34</t>
  </si>
  <si>
    <t>Satchwell</t>
  </si>
  <si>
    <t>Saxon Place</t>
  </si>
  <si>
    <t xml:space="preserve">Seaford Street, 8 </t>
  </si>
  <si>
    <t>Sefton Way, Cowley</t>
  </si>
  <si>
    <t>Selsden House UB1</t>
  </si>
  <si>
    <t>September Court</t>
  </si>
  <si>
    <t>Shaftesbury Place</t>
  </si>
  <si>
    <t xml:space="preserve">Shale Court </t>
  </si>
  <si>
    <t>ATB19</t>
  </si>
  <si>
    <t>Shalford Cottages</t>
  </si>
  <si>
    <t>Shalimar Gardens</t>
  </si>
  <si>
    <t>Sheil Court Flats 3-26</t>
  </si>
  <si>
    <t>Shona House</t>
  </si>
  <si>
    <t>Shoot Up Hill, 42</t>
  </si>
  <si>
    <t>Shoot Up Hill, 86</t>
  </si>
  <si>
    <t>Shrewsbury Road 2-8</t>
  </si>
  <si>
    <t>Sidi Court 18-55</t>
  </si>
  <si>
    <t>Sidney Close</t>
  </si>
  <si>
    <t>Sidney Miller W3</t>
  </si>
  <si>
    <t xml:space="preserve">Skyline Place Est and  Flats 1-26 </t>
  </si>
  <si>
    <t>Slade Way 17 and 19 , 21 and 23</t>
  </si>
  <si>
    <t>Slattery Road, Wyatt Close</t>
  </si>
  <si>
    <t>Somerfield Street</t>
  </si>
  <si>
    <t>South Norwood Hill 17+ 19</t>
  </si>
  <si>
    <t>South Street (SHC)</t>
  </si>
  <si>
    <t>South Street 57-77</t>
  </si>
  <si>
    <t>Southborne Grove</t>
  </si>
  <si>
    <t xml:space="preserve">Southchurch Road 10-12 </t>
  </si>
  <si>
    <t xml:space="preserve">Southchurch Road 373 </t>
  </si>
  <si>
    <t xml:space="preserve">Sparrow House </t>
  </si>
  <si>
    <t>Splendour Walk</t>
  </si>
  <si>
    <t>St Andrews House, The Stow</t>
  </si>
  <si>
    <t>St Clare Meadow</t>
  </si>
  <si>
    <t>St Edmunds Terr (sweep)</t>
  </si>
  <si>
    <t>St Erkenwalds Court</t>
  </si>
  <si>
    <t>St Francis Lodge 1-6 and 7-12</t>
  </si>
  <si>
    <t>St George Wharf: Admiral House</t>
  </si>
  <si>
    <t>St Georges Wharf: Armada House</t>
  </si>
  <si>
    <t>St Georges Wharf: Hobart, Hanover</t>
  </si>
  <si>
    <t>St Georges Wharf: Kingfisher</t>
  </si>
  <si>
    <t>St Helens Garden 2</t>
  </si>
  <si>
    <t>St Julians Road</t>
  </si>
  <si>
    <t>St Leonards</t>
  </si>
  <si>
    <t xml:space="preserve">St Lukes Court 1-8, 9-17 and 18-21 </t>
  </si>
  <si>
    <t>St Lukes Road (agent), 29</t>
  </si>
  <si>
    <t>St Marks Field</t>
  </si>
  <si>
    <t>St Marks Road</t>
  </si>
  <si>
    <t>St Martin's (Chalice Way, Holbrook house, Christchurch Road)</t>
  </si>
  <si>
    <t>Pinnacle</t>
  </si>
  <si>
    <t>St Martin's (Godolphin, Terry, Upper Tulse Hill, Brooks and Harbin House)</t>
  </si>
  <si>
    <t xml:space="preserve">St Pancras, 22 </t>
  </si>
  <si>
    <t xml:space="preserve">St Saviours Court </t>
  </si>
  <si>
    <t>St Stephens Gardens 30</t>
  </si>
  <si>
    <t>Stafford Road 4-14</t>
  </si>
  <si>
    <t>Stanborough Close</t>
  </si>
  <si>
    <t>Stanwick Mansions</t>
  </si>
  <si>
    <t>Station Lane 78-80</t>
  </si>
  <si>
    <t>Stepney Way, 171</t>
  </si>
  <si>
    <t>Stepney Way, 195</t>
  </si>
  <si>
    <t>Sterling Close</t>
  </si>
  <si>
    <t>Stevenage Rd (Palemead)</t>
  </si>
  <si>
    <t>Stokes Court</t>
  </si>
  <si>
    <t>Stonycroft Close 1-6 and 18-23</t>
  </si>
  <si>
    <t>Strode Rd pathway</t>
  </si>
  <si>
    <t>Suffolk Court</t>
  </si>
  <si>
    <t>Sullivan Close</t>
  </si>
  <si>
    <t>Sumeria Court</t>
  </si>
  <si>
    <t>Summerley St 17 and 18</t>
  </si>
  <si>
    <t>Sumner Estate</t>
  </si>
  <si>
    <t>Sunray Court Flats 1-6</t>
  </si>
  <si>
    <t>Sycamore Close</t>
  </si>
  <si>
    <t>Sydenham</t>
  </si>
  <si>
    <t>Syms House</t>
  </si>
  <si>
    <t>Tabron Court 51</t>
  </si>
  <si>
    <t>Talbot Rd 29-31</t>
  </si>
  <si>
    <t>Talbot Road 25A</t>
  </si>
  <si>
    <t>Templar Road</t>
  </si>
  <si>
    <t>Thatchers End</t>
  </si>
  <si>
    <t>The Avenue 25</t>
  </si>
  <si>
    <t>The Boltons, Vaughan Rd</t>
  </si>
  <si>
    <t>The Clusters, Baxter Ave</t>
  </si>
  <si>
    <t>The Cygnets</t>
  </si>
  <si>
    <t>The Depot</t>
  </si>
  <si>
    <t>The Drive 279</t>
  </si>
  <si>
    <t>The Homestead</t>
  </si>
  <si>
    <t>The Hyde Estate Nw6</t>
  </si>
  <si>
    <t>The Mansions</t>
  </si>
  <si>
    <t>The Moors, Paper Mill Close</t>
  </si>
  <si>
    <t xml:space="preserve">The Red House </t>
  </si>
  <si>
    <t>The Spinney</t>
  </si>
  <si>
    <t>The Withywindle</t>
  </si>
  <si>
    <t>Theodor Court</t>
  </si>
  <si>
    <t>Thomas Close</t>
  </si>
  <si>
    <t>Thomas Road  Flats 1-3</t>
  </si>
  <si>
    <t>Tom Dove Place 21-27</t>
  </si>
  <si>
    <t>Topaz Walk (Externals)</t>
  </si>
  <si>
    <t>Topsfield Close 21-29</t>
  </si>
  <si>
    <t xml:space="preserve">Tottenham Lane 101 </t>
  </si>
  <si>
    <t>Town Field Way - Play Area</t>
  </si>
  <si>
    <t>Town Field Way 11</t>
  </si>
  <si>
    <t>Townfield Way/West Middx</t>
  </si>
  <si>
    <t>Townmead</t>
  </si>
  <si>
    <t>Trebovir Road</t>
  </si>
  <si>
    <t>Treebeard Copse</t>
  </si>
  <si>
    <t>Trillington House</t>
  </si>
  <si>
    <t>Sharon Obi</t>
  </si>
  <si>
    <t>Trinovantian Way</t>
  </si>
  <si>
    <t>Turnberry court UB1</t>
  </si>
  <si>
    <t>Catherine Mckim</t>
  </si>
  <si>
    <t>Turner Court High Street 15,16,19</t>
  </si>
  <si>
    <t>Tweedy Close 1-5 and 6-11</t>
  </si>
  <si>
    <t>Tyas Road 25-35</t>
  </si>
  <si>
    <t>Umfreville Road</t>
  </si>
  <si>
    <t>Valentina Avenue 1-17 (Houses)</t>
  </si>
  <si>
    <t>Van Gogh Close</t>
  </si>
  <si>
    <t>Van Gogh Close (SHC)</t>
  </si>
  <si>
    <t>Vanquish Close</t>
  </si>
  <si>
    <t>Varcoe Road 55</t>
  </si>
  <si>
    <t>Varcoe Road 59</t>
  </si>
  <si>
    <t>Vauxhall Bridge Road, 74</t>
  </si>
  <si>
    <t>Verney Road</t>
  </si>
  <si>
    <t>Vicarage Court 1-8, Chapel Hill</t>
  </si>
  <si>
    <t>Victoria Court , 14-21 Milton Green</t>
  </si>
  <si>
    <t>Victoria Court, School Lane</t>
  </si>
  <si>
    <t>Victoria House</t>
  </si>
  <si>
    <t>Villa House</t>
  </si>
  <si>
    <t>Village Mews</t>
  </si>
  <si>
    <t>Villiers Road, 130-132</t>
  </si>
  <si>
    <t>Violet Court 2-12</t>
  </si>
  <si>
    <t>Violet Lodge</t>
  </si>
  <si>
    <t>Virginia Court 1-10 and 11-20</t>
  </si>
  <si>
    <t xml:space="preserve">Wade Court, 25-35 Harrowdene Road </t>
  </si>
  <si>
    <t>Wakefield Street</t>
  </si>
  <si>
    <t>Warley Hill 28-30</t>
  </si>
  <si>
    <t>Warley Hill 81</t>
  </si>
  <si>
    <t>Warrenshawe Lane</t>
  </si>
  <si>
    <t>Warwick Road 46/56</t>
  </si>
  <si>
    <t>Watkins Close</t>
  </si>
  <si>
    <t>Watson Road 48-56 and 66-74</t>
  </si>
  <si>
    <t>Wellers Grove</t>
  </si>
  <si>
    <t>Wellington Road 108-118</t>
  </si>
  <si>
    <t>Wells Mews</t>
  </si>
  <si>
    <t>Wells Way 83-95</t>
  </si>
  <si>
    <t>Welstead Way 1-21 and Bath Rd</t>
  </si>
  <si>
    <t>Weltje 45</t>
  </si>
  <si>
    <t>Wenham Drive</t>
  </si>
  <si>
    <t>Wesley Close</t>
  </si>
  <si>
    <t>Wesley Crt-York Rd</t>
  </si>
  <si>
    <t xml:space="preserve">West Avenue Road </t>
  </si>
  <si>
    <t>West End Lane, 62</t>
  </si>
  <si>
    <t>West Park Close</t>
  </si>
  <si>
    <t>Westbourne Crescent 4 ,5, and 7</t>
  </si>
  <si>
    <t>Westbourne Grove 140-152</t>
  </si>
  <si>
    <t>Westbourne Grove Terrace</t>
  </si>
  <si>
    <t>Westbourne Park 318-352</t>
  </si>
  <si>
    <t>Westbourne Park Road 105</t>
  </si>
  <si>
    <t>Westbourne Pk Rd 217</t>
  </si>
  <si>
    <t>Western Court 1-30, 245 Carlton Vale</t>
  </si>
  <si>
    <t>Westgate House</t>
  </si>
  <si>
    <t>Westville Road</t>
  </si>
  <si>
    <t xml:space="preserve">Wharf Way 110-112 </t>
  </si>
  <si>
    <t>Wheel Wright House 38-45 and 46-58 (Bedford)</t>
  </si>
  <si>
    <t>Whitmore Way-Maplestead</t>
  </si>
  <si>
    <t>Whitson Court</t>
  </si>
  <si>
    <t>Wick Close 240 f1-20</t>
  </si>
  <si>
    <t>Wickham Close, 22</t>
  </si>
  <si>
    <t>William Close</t>
  </si>
  <si>
    <t>Willow Lodge</t>
  </si>
  <si>
    <t>Wilson Court</t>
  </si>
  <si>
    <t>Windmills</t>
  </si>
  <si>
    <t>Windsor Mansions</t>
  </si>
  <si>
    <t>Wingate Square</t>
  </si>
  <si>
    <t xml:space="preserve">Managing Agent </t>
  </si>
  <si>
    <t>Winwright House</t>
  </si>
  <si>
    <t>Woodbury Down</t>
  </si>
  <si>
    <t>Woodbury Down Team</t>
  </si>
  <si>
    <t>Woodger Road</t>
  </si>
  <si>
    <t>Woodlands Court, 67 Wrentham Avenue</t>
  </si>
  <si>
    <t xml:space="preserve">Woodlands Road </t>
  </si>
  <si>
    <t>Woodstock 38/40</t>
  </si>
  <si>
    <t>Woodstock Terrace, 1a-1f and 2</t>
  </si>
  <si>
    <t>Wooldridge</t>
  </si>
  <si>
    <t xml:space="preserve">ATB9 </t>
  </si>
  <si>
    <t>Woolmerdine Court</t>
  </si>
  <si>
    <t>Worcester Point 1-19</t>
  </si>
  <si>
    <t xml:space="preserve">Managing Ag. Silvertown Properties </t>
  </si>
  <si>
    <t>Worcester Point 144-161</t>
  </si>
  <si>
    <t>York Road</t>
  </si>
  <si>
    <t>Zapotec House (Chilton Grove)</t>
  </si>
  <si>
    <t>Zenith Close Estate - Block 11</t>
  </si>
  <si>
    <t>Zenith Close Estate - Block 17</t>
  </si>
  <si>
    <t>Zenith Close Estate - Block 7</t>
  </si>
  <si>
    <t>All Contractors</t>
  </si>
  <si>
    <t>Mar</t>
  </si>
  <si>
    <t>Apr</t>
  </si>
  <si>
    <t>May</t>
  </si>
  <si>
    <t>Jun</t>
  </si>
  <si>
    <t>Jul</t>
  </si>
  <si>
    <t>Aug</t>
  </si>
  <si>
    <t>Sep</t>
  </si>
  <si>
    <t>Nov</t>
  </si>
  <si>
    <t>Dec</t>
  </si>
  <si>
    <t>Jan</t>
  </si>
  <si>
    <t>Feb</t>
  </si>
  <si>
    <t>Int</t>
  </si>
  <si>
    <t>Ext</t>
  </si>
  <si>
    <t>Total 1</t>
  </si>
  <si>
    <t>Total 2</t>
  </si>
  <si>
    <t>Total 3</t>
  </si>
  <si>
    <t>Total 4</t>
  </si>
  <si>
    <t>Insps due</t>
  </si>
  <si>
    <t>No Value</t>
  </si>
  <si>
    <t>Missed</t>
  </si>
  <si>
    <t xml:space="preserve">Total inspections done </t>
  </si>
  <si>
    <t>% above 2</t>
  </si>
  <si>
    <t>Estates team average % above 2</t>
  </si>
  <si>
    <t>.</t>
  </si>
  <si>
    <t>Cleaning Contractor</t>
  </si>
  <si>
    <t>Grounds Contractor</t>
  </si>
  <si>
    <t>Grounds</t>
  </si>
  <si>
    <t>Team</t>
  </si>
  <si>
    <t>Old name</t>
  </si>
  <si>
    <t>Ginkgo</t>
  </si>
  <si>
    <t>NS</t>
  </si>
  <si>
    <t>Yes</t>
  </si>
  <si>
    <t>TBC</t>
  </si>
  <si>
    <t>No</t>
  </si>
  <si>
    <t>Adastral North- Acklington, Bovingdon,Hemswell, Heywood, Trenchard</t>
  </si>
  <si>
    <t>Rainbow</t>
  </si>
  <si>
    <t>Astor Court</t>
  </si>
  <si>
    <t>Byfield Close, 52,55,56,59,64 - Salters Rd</t>
  </si>
  <si>
    <t>Bailey Close 38-55, 113-120</t>
  </si>
  <si>
    <t xml:space="preserve">Managing Ag. - Trinity Estates </t>
  </si>
  <si>
    <t>Baths Court</t>
  </si>
  <si>
    <t>Belsize Road</t>
  </si>
  <si>
    <t>Hexagon HA</t>
  </si>
  <si>
    <t>Bishop Wilfred Wood Court</t>
  </si>
  <si>
    <t>Champa Close 1-14 and 15-19</t>
  </si>
  <si>
    <t>Bramley Gardens</t>
  </si>
  <si>
    <t>Byfield Close</t>
  </si>
  <si>
    <t>Dalrympole Close 1-12 and 71-78</t>
  </si>
  <si>
    <t>Champa Close</t>
  </si>
  <si>
    <t>Churchfield Road, 68</t>
  </si>
  <si>
    <t>Clem Atlee Estate - Play Area</t>
  </si>
  <si>
    <t>Clive Lloyd House</t>
  </si>
  <si>
    <t>Clover Court</t>
  </si>
  <si>
    <t>Conrad Court</t>
  </si>
  <si>
    <t>Scotscape</t>
  </si>
  <si>
    <t>Convent Gardens</t>
  </si>
  <si>
    <t>Craven Lodge</t>
  </si>
  <si>
    <t>Crest Drive</t>
  </si>
  <si>
    <t>Darton Court</t>
  </si>
  <si>
    <t>Douglas Close</t>
  </si>
  <si>
    <t>Earls Court Road</t>
  </si>
  <si>
    <t>Edwood Woods(Hunt Close)</t>
  </si>
  <si>
    <t>L/A</t>
  </si>
  <si>
    <t>Fairmead Crescent</t>
  </si>
  <si>
    <t>Gloucester Court</t>
  </si>
  <si>
    <t>Goldhawk House</t>
  </si>
  <si>
    <t>Gore Close and Broadwater</t>
  </si>
  <si>
    <t>Helix Court</t>
  </si>
  <si>
    <t>Hesewell Close 1-12</t>
  </si>
  <si>
    <t>Hildene (Hungerdown, Juneberry, Lewins, Lockhart)</t>
  </si>
  <si>
    <t>Hobby St, Makah, Modoc, Van Lang and Rabinal</t>
  </si>
  <si>
    <t>Inwen Court 22-45, Grinstead Rd</t>
  </si>
  <si>
    <t>Island Road 2, 19, 24</t>
  </si>
  <si>
    <t>LandQ</t>
  </si>
  <si>
    <t>Jacob Court 1-21</t>
  </si>
  <si>
    <t>Joshua Close</t>
  </si>
  <si>
    <t>Khalsa Court, 1-7 and 8-13, 2C Acacia Rd</t>
  </si>
  <si>
    <t>Lee Samuel House</t>
  </si>
  <si>
    <t>Longley Road 72</t>
  </si>
  <si>
    <t>Major Close</t>
  </si>
  <si>
    <t>Mason Close 1-6 and 14-33, Stevenson Cres</t>
  </si>
  <si>
    <t>Matlock Close</t>
  </si>
  <si>
    <t>Maya Close</t>
  </si>
  <si>
    <t>Maya Place 1-14, 15-23</t>
  </si>
  <si>
    <t>Milton Road Playground</t>
  </si>
  <si>
    <t>Moynihan Drive 1-6 and 14-21</t>
  </si>
  <si>
    <t>Nottingham Road 11</t>
  </si>
  <si>
    <t>Novello Road</t>
  </si>
  <si>
    <t>Osier Crescent 199-249, 207-229</t>
  </si>
  <si>
    <t>Park Court</t>
  </si>
  <si>
    <t>Pathway Lodge</t>
  </si>
  <si>
    <t>Peckham Rye 100-106</t>
  </si>
  <si>
    <t>Penfold 60</t>
  </si>
  <si>
    <t>Penniston Close, Flats 1-6 and 27-34</t>
  </si>
  <si>
    <t>Princess Mews</t>
  </si>
  <si>
    <t>Ravenscourt Park Mansions</t>
  </si>
  <si>
    <t>Rendle Close</t>
  </si>
  <si>
    <t>Rootes Site Management</t>
  </si>
  <si>
    <t>Sammi Court - mixed tenure</t>
  </si>
  <si>
    <t>Satchwell House</t>
  </si>
  <si>
    <t>Sefton Way</t>
  </si>
  <si>
    <t>Selsdon House</t>
  </si>
  <si>
    <t>Sidi Court, Milton Rd 1-17 and 18-55</t>
  </si>
  <si>
    <t>Sidney Miller</t>
  </si>
  <si>
    <t>Somer Court</t>
  </si>
  <si>
    <t>South Norwood Hill 17-19</t>
  </si>
  <si>
    <t>Splendour Walk Play Area</t>
  </si>
  <si>
    <t>St Edmunds Terrace</t>
  </si>
  <si>
    <t>St Julians Road, 22</t>
  </si>
  <si>
    <t>St Martin's Hightrees (Godolphin, Terry, Upper Tulse Hill, Brooks and Harbin House)</t>
  </si>
  <si>
    <t>Stepney Close and Pearson Way</t>
  </si>
  <si>
    <t>Swan Road/Albion Street</t>
  </si>
  <si>
    <t>Towpath Way</t>
  </si>
  <si>
    <t>Turnberry court</t>
  </si>
  <si>
    <t>Walker Close</t>
  </si>
  <si>
    <t>Welstead Way 1-21 and Bath Road</t>
  </si>
  <si>
    <t>Wick Road</t>
  </si>
  <si>
    <t>Wigston Close 93-98 and 132-137</t>
  </si>
  <si>
    <t>Windmills, Moss, Reed, Bracken Lodge</t>
  </si>
  <si>
    <t>OM</t>
  </si>
  <si>
    <t>Apr-19</t>
  </si>
  <si>
    <t>May-19</t>
  </si>
  <si>
    <t>Jun-19</t>
  </si>
  <si>
    <t>Jul-19</t>
  </si>
  <si>
    <t>Aug-19</t>
  </si>
  <si>
    <t>Sep-19</t>
  </si>
  <si>
    <t>Oct-19</t>
  </si>
  <si>
    <t>Nov-19</t>
  </si>
  <si>
    <t>Dec-19</t>
  </si>
  <si>
    <t>Jan-20</t>
  </si>
  <si>
    <t>Feb-20</t>
  </si>
  <si>
    <t>Mar-20</t>
  </si>
  <si>
    <t>Housing Team</t>
  </si>
  <si>
    <t>CandS</t>
  </si>
  <si>
    <t>Abercorn Way 68-80</t>
  </si>
  <si>
    <t>Adlington Close 30-50</t>
  </si>
  <si>
    <t>Akabusi</t>
  </si>
  <si>
    <t>Balham Road flats a-f</t>
  </si>
  <si>
    <t>Westbourne Park Rd</t>
  </si>
  <si>
    <t>Blakes Rd</t>
  </si>
  <si>
    <t>Carmicheal Close</t>
  </si>
  <si>
    <t>Clem Atlee</t>
  </si>
  <si>
    <t>Nicole Brown</t>
  </si>
  <si>
    <t>Farrow House Firth House</t>
  </si>
  <si>
    <t>Gloucester Gardens</t>
  </si>
  <si>
    <t>King Henry's Walk 11a</t>
  </si>
  <si>
    <t>Linwood Crescent 96-192 and 106-114</t>
  </si>
  <si>
    <t>Maugham House 26 Porden Rd</t>
  </si>
  <si>
    <t>Merton Road 20</t>
  </si>
  <si>
    <t>Mulbery Crescent</t>
  </si>
  <si>
    <t>Munster court</t>
  </si>
  <si>
    <t>North Circular (Sienna, Sprial, Graves)</t>
  </si>
  <si>
    <t>Pankhurst House</t>
  </si>
  <si>
    <t>Parison</t>
  </si>
  <si>
    <t>Godwin Chukwudinma</t>
  </si>
  <si>
    <t>Perryman House</t>
  </si>
  <si>
    <t>Porters Way</t>
  </si>
  <si>
    <t>Pound Lane/Bertie</t>
  </si>
  <si>
    <t>Ionela Flood</t>
  </si>
  <si>
    <t>Tweedy Close</t>
  </si>
  <si>
    <t xml:space="preserve">Yasmin Khan </t>
  </si>
  <si>
    <t>Warrens Shawe Lane</t>
  </si>
  <si>
    <t>Warwick Road</t>
  </si>
  <si>
    <t>Internal:</t>
  </si>
  <si>
    <t>IntDec16</t>
  </si>
  <si>
    <t>IntDec</t>
  </si>
  <si>
    <t>IntAug16</t>
  </si>
  <si>
    <t>IntAug</t>
  </si>
  <si>
    <t>IntApr16</t>
  </si>
  <si>
    <t>IntApr</t>
  </si>
  <si>
    <t>IntJan</t>
  </si>
  <si>
    <t>IntJan16</t>
  </si>
  <si>
    <t>IntJul</t>
  </si>
  <si>
    <t>IntJuly15</t>
  </si>
  <si>
    <t>IntJun</t>
  </si>
  <si>
    <t>IntJune15</t>
  </si>
  <si>
    <t>IntMar</t>
  </si>
  <si>
    <t>IntMar16</t>
  </si>
  <si>
    <t>IntNov</t>
  </si>
  <si>
    <t>IntNov15</t>
  </si>
  <si>
    <t>IntOct</t>
  </si>
  <si>
    <t>IntOct15</t>
  </si>
  <si>
    <t>IntSep</t>
  </si>
  <si>
    <t>IntSept15</t>
  </si>
  <si>
    <t>ExtApr</t>
  </si>
  <si>
    <t>ExtApr15</t>
  </si>
  <si>
    <t>ExtAug</t>
  </si>
  <si>
    <t>ExtAug15</t>
  </si>
  <si>
    <t>ExtDec</t>
  </si>
  <si>
    <t>ExtDec15</t>
  </si>
  <si>
    <t>ExtFeb</t>
  </si>
  <si>
    <t>ExtFeb16</t>
  </si>
  <si>
    <t>ExtJul</t>
  </si>
  <si>
    <t>ExtJuly15</t>
  </si>
  <si>
    <t>ExtJun</t>
  </si>
  <si>
    <t>ExtJune15</t>
  </si>
  <si>
    <t>ExtMar</t>
  </si>
  <si>
    <t>ExtMar16</t>
  </si>
  <si>
    <t>ExtMay</t>
  </si>
  <si>
    <t>ExtMay15</t>
  </si>
  <si>
    <t>ExtOct</t>
  </si>
  <si>
    <t>ExtOct15</t>
  </si>
  <si>
    <t>ExtSep</t>
  </si>
  <si>
    <t>ExtSept15</t>
  </si>
  <si>
    <t>Landscape:</t>
  </si>
  <si>
    <t>Jul_LA</t>
  </si>
  <si>
    <t>Jul15_LA</t>
  </si>
  <si>
    <t>Jun_LA</t>
  </si>
  <si>
    <t>Jun15_LA</t>
  </si>
  <si>
    <t>Mar_LA</t>
  </si>
  <si>
    <t>Mar16_LA</t>
  </si>
  <si>
    <t>May_LA</t>
  </si>
  <si>
    <t>May15_LA</t>
  </si>
  <si>
    <t>Dec_LA</t>
  </si>
  <si>
    <t>Dec15_LA</t>
  </si>
  <si>
    <t>Feb15_LA</t>
  </si>
  <si>
    <t>Feb_LA</t>
  </si>
  <si>
    <t>Apr15_LA</t>
  </si>
  <si>
    <t>Apr_LA</t>
  </si>
  <si>
    <t>Aug15_LA</t>
  </si>
  <si>
    <t>Aug_LA</t>
  </si>
  <si>
    <t>Oct15_LA</t>
  </si>
  <si>
    <t>Oct_LA</t>
  </si>
  <si>
    <t>Team list</t>
  </si>
  <si>
    <t>IntFeb16</t>
  </si>
  <si>
    <t>IntFeb</t>
  </si>
  <si>
    <t>IntMay</t>
  </si>
  <si>
    <t>IntMay15</t>
  </si>
  <si>
    <t>External:</t>
  </si>
  <si>
    <t>ExtJan</t>
  </si>
  <si>
    <t>ExtJan16</t>
  </si>
  <si>
    <t>ExtNov</t>
  </si>
  <si>
    <t>ExtNov15</t>
  </si>
  <si>
    <t>Jan_LA</t>
  </si>
  <si>
    <t>Jan16_LA</t>
  </si>
  <si>
    <t>Nov_LA</t>
  </si>
  <si>
    <t>Nov15_LA</t>
  </si>
  <si>
    <t>Sep15_LA</t>
  </si>
  <si>
    <t>Sep_LA</t>
  </si>
  <si>
    <t>Housing Management Contract Monitor 2015/2016</t>
  </si>
  <si>
    <t>Internal &amp; External Cleaning</t>
  </si>
  <si>
    <t>June</t>
  </si>
  <si>
    <t xml:space="preserve">July </t>
  </si>
  <si>
    <t xml:space="preserve">August  </t>
  </si>
  <si>
    <t xml:space="preserve">September </t>
  </si>
  <si>
    <t xml:space="preserve">October </t>
  </si>
  <si>
    <t xml:space="preserve">Nov </t>
  </si>
  <si>
    <t xml:space="preserve">Jan </t>
  </si>
  <si>
    <t xml:space="preserve">Feb  </t>
  </si>
  <si>
    <t>Officer</t>
  </si>
  <si>
    <t>Frequency</t>
  </si>
  <si>
    <t>RM</t>
  </si>
  <si>
    <t>Abbeydale House</t>
  </si>
  <si>
    <t>4 hours per week</t>
  </si>
  <si>
    <t>Just Ask</t>
  </si>
  <si>
    <t>Lianne Brewer</t>
  </si>
  <si>
    <t>Alan Kelly House</t>
  </si>
  <si>
    <t>1.5 hours per week</t>
  </si>
  <si>
    <t>Ann Brading</t>
  </si>
  <si>
    <t>Weekly</t>
  </si>
  <si>
    <t>Ike Aruoma</t>
  </si>
  <si>
    <t>2 days a week</t>
  </si>
  <si>
    <t>Orbit housing contractor</t>
  </si>
  <si>
    <t>2 hours per week</t>
  </si>
  <si>
    <t xml:space="preserve">Mariam Akorley </t>
  </si>
  <si>
    <t>Bedford Hill 117</t>
  </si>
  <si>
    <t>5 days a week</t>
  </si>
  <si>
    <t>Clean Green</t>
  </si>
  <si>
    <t>Cheryl Watson</t>
  </si>
  <si>
    <t>3 hours per week</t>
  </si>
  <si>
    <t xml:space="preserve">Paul Feneron </t>
  </si>
  <si>
    <t>Chesterton Road 110</t>
  </si>
  <si>
    <t>3 days a week</t>
  </si>
  <si>
    <t>Ronke Obinna</t>
  </si>
  <si>
    <t>Christopher Williams</t>
  </si>
  <si>
    <t>Eastwood Street 63</t>
  </si>
  <si>
    <t xml:space="preserve">Eva Phelan </t>
  </si>
  <si>
    <t>Edencourt Road 32</t>
  </si>
  <si>
    <t>Ian Harris</t>
  </si>
  <si>
    <t>Fairchild Close, Wye Street</t>
  </si>
  <si>
    <t>Fallsbrook Road 60</t>
  </si>
  <si>
    <t>Fallsbrook Road 78</t>
  </si>
  <si>
    <t xml:space="preserve">Vijay Raghunandan </t>
  </si>
  <si>
    <t>Grove Road 201</t>
  </si>
  <si>
    <t>Hetley Road 3/64</t>
  </si>
  <si>
    <t>Holly Way 12, Mitcham</t>
  </si>
  <si>
    <t>Laitwood Road 1</t>
  </si>
  <si>
    <t>Lee samuel House, Nealden Street</t>
  </si>
  <si>
    <t xml:space="preserve">Ernestine Ngingeh </t>
  </si>
  <si>
    <t>Manor Rd 74</t>
  </si>
  <si>
    <t>Mildmay Park 26</t>
  </si>
  <si>
    <t>7 days a week</t>
  </si>
  <si>
    <t>Mildmay Park 6</t>
  </si>
  <si>
    <t>Mildmay Street 73</t>
  </si>
  <si>
    <t>Mitchison Court</t>
  </si>
  <si>
    <t>Moore House, St Georges Grove</t>
  </si>
  <si>
    <t>Eva Phelan</t>
  </si>
  <si>
    <t>Ormrod Court</t>
  </si>
  <si>
    <t>3.5 hours per week</t>
  </si>
  <si>
    <t>Anne Brading</t>
  </si>
  <si>
    <t xml:space="preserve">Alison Harty </t>
  </si>
  <si>
    <t>Pathway Lodge 91-101 London Road</t>
  </si>
  <si>
    <t>Penfold Street 60</t>
  </si>
  <si>
    <t>9 hours per week</t>
  </si>
  <si>
    <t>Percy Road 78/86</t>
  </si>
  <si>
    <t>Quesley House, Christchurch Road</t>
  </si>
  <si>
    <t>Royston Court, Kensington Church Street</t>
  </si>
  <si>
    <t>Selsden House</t>
  </si>
  <si>
    <t>Shipton House</t>
  </si>
  <si>
    <t xml:space="preserve">Lisnette Chitsaka </t>
  </si>
  <si>
    <t>Sidney Miller Court</t>
  </si>
  <si>
    <t xml:space="preserve">Rafiat Iyiola </t>
  </si>
  <si>
    <t>South Street 59, Isleworth</t>
  </si>
  <si>
    <t>Sue Starkey House</t>
  </si>
  <si>
    <t>Town Field Way 11 A, B, C, &amp; D</t>
  </si>
  <si>
    <t>Trebovir Road 27</t>
  </si>
  <si>
    <t>Turnberry Court</t>
  </si>
  <si>
    <t>Van Gogh Close 1</t>
  </si>
  <si>
    <t>Walham Grove 8</t>
  </si>
  <si>
    <t xml:space="preserve">Ronke Obinna </t>
  </si>
  <si>
    <t xml:space="preserve">Tania Lack </t>
  </si>
  <si>
    <t xml:space="preserve"> Jan</t>
  </si>
  <si>
    <t>Minus nr</t>
  </si>
  <si>
    <t>Housing Management Contract Monitor 2014/2015</t>
  </si>
  <si>
    <t>RM Nov</t>
  </si>
  <si>
    <t>RM Dec</t>
  </si>
  <si>
    <t>RM Jan</t>
  </si>
  <si>
    <t>RM Feb</t>
  </si>
  <si>
    <t>RM Mar</t>
  </si>
  <si>
    <t>RM Apr</t>
  </si>
  <si>
    <t>RM May</t>
  </si>
  <si>
    <t>RM Jun</t>
  </si>
  <si>
    <t>July</t>
  </si>
  <si>
    <t>RM July</t>
  </si>
  <si>
    <t>RM Aug</t>
  </si>
  <si>
    <t>Sept</t>
  </si>
  <si>
    <t>RM Sept</t>
  </si>
  <si>
    <t>Fortnightly</t>
  </si>
  <si>
    <t>Gingko</t>
  </si>
  <si>
    <t>Orbit Housing contractor</t>
  </si>
  <si>
    <t>Hetley Road 64</t>
  </si>
  <si>
    <t>Holly Way 12</t>
  </si>
  <si>
    <t>Under defects</t>
  </si>
  <si>
    <t>South Street 59</t>
  </si>
  <si>
    <t>Westville Road 5</t>
  </si>
  <si>
    <t>RM Sep</t>
  </si>
  <si>
    <t>Housing Management Contract Monitor 2014</t>
  </si>
  <si>
    <t>ATB</t>
  </si>
  <si>
    <t>Int/Ext</t>
  </si>
  <si>
    <t>Housing Officer</t>
  </si>
  <si>
    <t>ATB11</t>
  </si>
  <si>
    <t>Tom Hay</t>
  </si>
  <si>
    <t>Alex Spencer</t>
  </si>
  <si>
    <t>Michelle Bernard</t>
  </si>
  <si>
    <t>Crystal Court</t>
  </si>
  <si>
    <t>Edward De Vere</t>
  </si>
  <si>
    <t>Jacquie Cannon</t>
  </si>
  <si>
    <t>Thomas Fyre Drive, Bryant and Letchford House</t>
  </si>
  <si>
    <t>Victoria Park Rd 94</t>
  </si>
  <si>
    <t>Micawber St, Wilkins Apartments</t>
  </si>
  <si>
    <t>Occupation Rd</t>
  </si>
  <si>
    <t>Harrowdene Court</t>
  </si>
  <si>
    <t>St James &amp; Bellevue Estate</t>
  </si>
  <si>
    <t>Lime Close 27-35 and 36-41</t>
  </si>
  <si>
    <t>Padden Court</t>
  </si>
  <si>
    <t>Potters Lane</t>
  </si>
  <si>
    <t>Blandford Crescent</t>
  </si>
  <si>
    <t>Amethyst Walk 26-32</t>
  </si>
  <si>
    <t>Bovingdon 10-18</t>
  </si>
  <si>
    <t>Bovingdon 1-9</t>
  </si>
  <si>
    <t>Broadhurst Gardens, 27</t>
  </si>
  <si>
    <t>Buttercup Close 30-36</t>
  </si>
  <si>
    <t>Camelot Court</t>
  </si>
  <si>
    <t>Campion Road 33-43</t>
  </si>
  <si>
    <t>Campion Road 45-47</t>
  </si>
  <si>
    <t>Campion Road 49-59</t>
  </si>
  <si>
    <t>Chelsea Crescent, 1-12</t>
  </si>
  <si>
    <t>Eastern Court</t>
  </si>
  <si>
    <t>Edwin House</t>
  </si>
  <si>
    <t>Genesis House</t>
  </si>
  <si>
    <t>Hall Barns 8-13</t>
  </si>
  <si>
    <t>Hilgrove Road, 10-12, 20-24</t>
  </si>
  <si>
    <t>Ilford Hill</t>
  </si>
  <si>
    <t>Longford Street, 26, 11-15</t>
  </si>
  <si>
    <t>Longford Street, 28</t>
  </si>
  <si>
    <t>Mathieson House</t>
  </si>
  <si>
    <t>Meadowbrook Ct 14-21, 22-29,</t>
  </si>
  <si>
    <t>Panshanger 1-9</t>
  </si>
  <si>
    <t>Pembury House High Road 593</t>
  </si>
  <si>
    <t>Postmasters Lodge, Flats 9-20</t>
  </si>
  <si>
    <t>Royston Court</t>
  </si>
  <si>
    <t>Seaford Street, 8</t>
  </si>
  <si>
    <t>Skyline Place Est and Flats 1-26</t>
  </si>
  <si>
    <t>Sparrow House</t>
  </si>
  <si>
    <t>St Lukes Court 1-8, 9-17 and 18-21</t>
  </si>
  <si>
    <t>St Saviours Court</t>
  </si>
  <si>
    <t>The Red House</t>
  </si>
  <si>
    <t>Tottenham Lane 101</t>
  </si>
  <si>
    <t>Wade Court, 25-35 Harrowdene Road</t>
  </si>
  <si>
    <t>West Avenue Road</t>
  </si>
  <si>
    <t>St James and Bellevue Estate</t>
  </si>
  <si>
    <t xml:space="preserve"> Team 2</t>
  </si>
  <si>
    <t>Salvor Tower E14</t>
  </si>
  <si>
    <t>Thole Court E14</t>
  </si>
  <si>
    <t>Letchford House E3</t>
  </si>
  <si>
    <t>Blenheim Crescent</t>
  </si>
  <si>
    <t>Bolney - Wareham</t>
  </si>
  <si>
    <t>f</t>
  </si>
  <si>
    <t>Housing IMR</t>
  </si>
  <si>
    <t>HOUSING SOUTH TEAM 5</t>
  </si>
  <si>
    <t>HOUSING NORTH TEAM 4</t>
  </si>
  <si>
    <t>HOUSING EAST TEAM 3</t>
  </si>
  <si>
    <t>HOUSING EAST TEAM 1</t>
  </si>
  <si>
    <t>HOUSING WEST TEAM 7</t>
  </si>
  <si>
    <t>HOUSING NORTH TEAM 2</t>
  </si>
  <si>
    <t>HOUSING SOUTH TEAM 2</t>
  </si>
  <si>
    <t>HOUSING WEST TEAM 8</t>
  </si>
  <si>
    <t>HOUSING SOUTH TEAM 3</t>
  </si>
  <si>
    <t>HOUSING NORTH TEAM 1</t>
  </si>
  <si>
    <t>HOUSING SOUTH TEAM 1</t>
  </si>
  <si>
    <t>Supported Housing</t>
  </si>
  <si>
    <t>HOUSING NORTH TEAM 5</t>
  </si>
  <si>
    <t>HOUSING NORTH TEAM 6</t>
  </si>
  <si>
    <t>HOUSING WEST TEAM 3</t>
  </si>
  <si>
    <t>HOUSING EAST TEAM 4</t>
  </si>
  <si>
    <t>HOUSING SOUTH TEAM 4</t>
  </si>
  <si>
    <t>HOUSING NORTH TEAM 3</t>
  </si>
  <si>
    <t>HOUSING NORTH TEAM 7</t>
  </si>
  <si>
    <t>HOUSING WEST TEAM 4</t>
  </si>
  <si>
    <t>HOUSING EAST TEAM 2</t>
  </si>
  <si>
    <t>HOUSING SOUTH TEAM 6</t>
  </si>
  <si>
    <t>HOUSING WEST TEAM 2</t>
  </si>
  <si>
    <t>HOUSING WEST TEAM 1</t>
  </si>
  <si>
    <t>HOUSING WEST TEAM 6</t>
  </si>
  <si>
    <t>HOUSING WEST TEAM 5</t>
  </si>
  <si>
    <t>WOODBERRY DOWN TEAM</t>
  </si>
  <si>
    <t xml:space="preserve">HOUSING EAST TEAM 1 </t>
  </si>
  <si>
    <t>Woodberry Down</t>
  </si>
  <si>
    <t xml:space="preserve">Sept </t>
  </si>
  <si>
    <t xml:space="preserve">Oct </t>
  </si>
  <si>
    <t>IntOct-20</t>
  </si>
  <si>
    <t>ExtOct-20</t>
  </si>
  <si>
    <t>Housing Management Contract Monitor 2020</t>
  </si>
  <si>
    <t>Wilkinson Way (Agent), 21-30</t>
  </si>
  <si>
    <t>Ball House</t>
  </si>
  <si>
    <t>Arado House</t>
  </si>
  <si>
    <t xml:space="preserve">HOUSING WEST TEAM 8 </t>
  </si>
  <si>
    <t>Crownstone Road</t>
  </si>
  <si>
    <t>Orwell Court</t>
  </si>
  <si>
    <t>Simkins Close</t>
  </si>
  <si>
    <t>Southern Row</t>
  </si>
  <si>
    <t>Swift Court</t>
  </si>
  <si>
    <t>Wellington Court</t>
  </si>
  <si>
    <t>SOUTH</t>
  </si>
  <si>
    <t>Carmel House</t>
  </si>
  <si>
    <t>Churchfield Road - 68</t>
  </si>
  <si>
    <t>Eton Avenue, 45</t>
  </si>
  <si>
    <t>Eugenia Rd (f1-15)</t>
  </si>
  <si>
    <t>Gainford Court</t>
  </si>
  <si>
    <t>Green Lanes 383</t>
  </si>
  <si>
    <t>Iverson Road 28</t>
  </si>
  <si>
    <t>Kilburn High Road, 50-52</t>
  </si>
  <si>
    <t>Leonard Court 2- 10 and 11-20</t>
  </si>
  <si>
    <t>Southchurch Road 10-12</t>
  </si>
  <si>
    <t>Southchurch Road 373</t>
  </si>
  <si>
    <t>St Pancras, 22</t>
  </si>
  <si>
    <t>Thomas Road Flats 1-3</t>
  </si>
  <si>
    <t>Wharf Way 110-112</t>
  </si>
  <si>
    <t>Woodlands Road</t>
  </si>
  <si>
    <t>Heron Mews 7,17,19</t>
  </si>
  <si>
    <t>Cleaning</t>
  </si>
  <si>
    <t>s</t>
  </si>
  <si>
    <t>Cambridge Avenue, 18</t>
  </si>
  <si>
    <t>William Court 39-56 Green Lane</t>
  </si>
  <si>
    <t>Skyline Place Flats 27-69</t>
  </si>
  <si>
    <t>Cohen Court 1-37</t>
  </si>
  <si>
    <t>Canal Estate, Miller House</t>
  </si>
  <si>
    <t>Canal Estate, Orpheus House</t>
  </si>
  <si>
    <t>HOUSING IMR</t>
  </si>
  <si>
    <t>St Josephs</t>
  </si>
  <si>
    <t>Earls Ct Rd</t>
  </si>
  <si>
    <t>Gloucester Terrace 174-200</t>
  </si>
  <si>
    <t>south</t>
  </si>
  <si>
    <t>Elder Lodge, Windmill Estate</t>
  </si>
  <si>
    <t>Chagford House - 39 Chagford Street 15, 20, 10, 11,14, 18, 17,9,3,19</t>
  </si>
  <si>
    <t>Brook Drive, 158</t>
  </si>
  <si>
    <t>Britannia House 46-58 (Bedford)</t>
  </si>
  <si>
    <t>Britannia House 38-45 (Bedford)</t>
  </si>
  <si>
    <t>Wharf Way 89-91, 101-109</t>
  </si>
  <si>
    <t>Wheel Wright House 46-58 (Bedford)</t>
  </si>
  <si>
    <t>Wheel Wright House 38-45 (Bedford)</t>
  </si>
  <si>
    <t>The Brambles - Brick House Lane</t>
  </si>
  <si>
    <t>Nicoll Road 11</t>
  </si>
  <si>
    <t>Merton Court and Nolan Path</t>
  </si>
  <si>
    <t>Meadowbrook Court</t>
  </si>
  <si>
    <t>Matching Court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</si>
</sst>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8"/>
      <color indexed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8"/>
      <color indexed="8"/>
      <name val="Arial"/>
      <family val="2"/>
    </font>
    <font>
      <b/>
      <sz val="8"/>
      <color indexed="61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0"/>
      <color indexed="8"/>
      <name val="Arial"/>
      <family val="2"/>
    </font>
    <font>
      <sz val="8"/>
      <color indexed="8"/>
      <name val="Calibri"/>
      <family val="2"/>
    </font>
    <font>
      <b/>
      <sz val="12"/>
      <color indexed="8"/>
      <name val="Arial"/>
      <family val="2"/>
    </font>
    <font>
      <b/>
      <sz val="12"/>
      <color indexed="51"/>
      <name val="Arial"/>
      <family val="2"/>
    </font>
    <font>
      <sz val="10"/>
      <name val="Microsoft Sans Serif"/>
      <family val="2"/>
    </font>
    <font>
      <sz val="10"/>
      <name val="Microsoft Sans Serif"/>
      <family val="2"/>
    </font>
    <font>
      <sz val="10"/>
      <color indexed="8"/>
      <name val="Arial"/>
      <family val="2"/>
    </font>
    <font>
      <b/>
      <sz val="8"/>
      <color indexed="8"/>
      <name val="Arial"/>
      <family val="2"/>
    </font>
    <font>
      <b/>
      <sz val="11"/>
      <color indexed="8"/>
      <name val="Calibri"/>
      <family val="2"/>
    </font>
    <font>
      <sz val="10"/>
      <color indexed="8"/>
      <name val="Calibri"/>
      <family val="2"/>
    </font>
    <font>
      <b/>
      <sz val="8"/>
      <color indexed="10"/>
      <name val="Calibri"/>
      <family val="2"/>
    </font>
    <font>
      <sz val="8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0"/>
      <color indexed="8"/>
      <name val="Calibri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FF0000"/>
      <name val="Calibri"/>
      <family val="2"/>
    </font>
    <font>
      <b/>
      <sz val="10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8"/>
      <color rgb="FFFF66FF"/>
      <name val="Arial"/>
      <family val="2"/>
    </font>
    <font>
      <sz val="11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Arial"/>
      <family val="2"/>
    </font>
    <font>
      <sz val="11"/>
      <name val="Calibri"/>
      <family val="2"/>
      <scheme val="minor"/>
    </font>
    <font>
      <sz val="8"/>
      <color rgb="FF7030A0"/>
      <name val="Arial"/>
      <family val="2"/>
    </font>
    <font>
      <b/>
      <sz val="11"/>
      <color rgb="FFFFC000"/>
      <name val="Arial"/>
      <family val="2"/>
    </font>
    <font>
      <b/>
      <sz val="9"/>
      <color rgb="FFFFC000"/>
      <name val="Arial"/>
      <family val="2"/>
    </font>
    <font>
      <sz val="9"/>
      <color rgb="FFFFC000"/>
      <name val="Calibri"/>
      <family val="2"/>
      <scheme val="minor"/>
    </font>
    <font>
      <b/>
      <sz val="11"/>
      <color rgb="FF00B0F0"/>
      <name val="Arial"/>
      <family val="2"/>
    </font>
    <font>
      <b/>
      <sz val="9"/>
      <color rgb="FF00B0F0"/>
      <name val="Arial"/>
      <family val="2"/>
    </font>
    <font>
      <sz val="9"/>
      <color rgb="FF00B0F0"/>
      <name val="Calibri"/>
      <family val="2"/>
      <scheme val="minor"/>
    </font>
    <font>
      <b/>
      <sz val="11"/>
      <color rgb="FFFFFF00"/>
      <name val="Arial"/>
      <family val="2"/>
    </font>
    <font>
      <b/>
      <sz val="9"/>
      <color rgb="FFFFFF00"/>
      <name val="Arial"/>
      <family val="2"/>
    </font>
    <font>
      <sz val="9"/>
      <color rgb="FFFFFF0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1"/>
      <color rgb="FF00B050"/>
      <name val="Arial"/>
      <family val="2"/>
    </font>
    <font>
      <sz val="11"/>
      <color rgb="FF00B050"/>
      <name val="Calibri"/>
      <family val="2"/>
      <scheme val="minor"/>
    </font>
    <font>
      <b/>
      <sz val="11"/>
      <color rgb="FFFF0000"/>
      <name val="Arial"/>
      <family val="2"/>
    </font>
    <font>
      <sz val="11"/>
      <color rgb="FFFF0000"/>
      <name val="Calibri"/>
      <family val="2"/>
    </font>
    <font>
      <sz val="8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11"/>
      <color theme="5"/>
      <name val="Calibri"/>
      <family val="2"/>
      <scheme val="minor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sz val="8"/>
      <color rgb="FF333333"/>
      <name val="Arial"/>
      <family val="2"/>
    </font>
    <font>
      <b/>
      <sz val="10"/>
      <color rgb="FF00B0F0"/>
      <name val="Calibri"/>
      <family val="2"/>
    </font>
    <font>
      <sz val="10"/>
      <color rgb="FF00B0F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49998474074526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theme="9"/>
      </top>
      <bottom/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/>
      <top style="thin">
        <color theme="5"/>
      </top>
      <bottom/>
      <diagonal/>
    </border>
    <border>
      <left/>
      <right style="thin">
        <color theme="5"/>
      </right>
      <top style="thin">
        <color theme="5"/>
      </top>
      <bottom/>
      <diagonal/>
    </border>
    <border>
      <left/>
      <right/>
      <top style="thin">
        <color theme="5"/>
      </top>
      <bottom style="thin">
        <color theme="5"/>
      </bottom>
      <diagonal/>
    </border>
    <border>
      <left style="thin">
        <color indexed="64"/>
      </left>
      <right/>
      <top style="thin">
        <color theme="5"/>
      </top>
      <bottom/>
      <diagonal/>
    </border>
    <border>
      <left style="thin">
        <color theme="9"/>
      </left>
      <right/>
      <top style="thin">
        <color indexed="64"/>
      </top>
      <bottom/>
      <diagonal/>
    </border>
    <border>
      <left/>
      <right style="thin">
        <color theme="5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5"/>
      </top>
      <bottom style="thin">
        <color theme="5"/>
      </bottom>
      <diagonal/>
    </border>
    <border>
      <left style="thin">
        <color indexed="64"/>
      </left>
      <right/>
      <top style="thin">
        <color theme="5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9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8064A2"/>
      </top>
      <bottom/>
      <diagonal/>
    </border>
    <border>
      <left/>
      <right/>
      <top style="thin">
        <color theme="4"/>
      </top>
      <bottom/>
      <diagonal/>
    </border>
    <border>
      <left/>
      <right/>
      <top style="thin">
        <color theme="4"/>
      </top>
      <bottom style="thin">
        <color theme="4"/>
      </bottom>
      <diagonal/>
    </border>
  </borders>
  <cellStyleXfs count="13">
    <xf numFmtId="0" fontId="0" fillId="0" borderId="0"/>
    <xf numFmtId="0" fontId="30" fillId="0" borderId="0" applyNumberFormat="0" applyFill="0" applyBorder="0" applyAlignment="0" applyProtection="0"/>
    <xf numFmtId="0" fontId="2" fillId="0" borderId="0"/>
    <xf numFmtId="0" fontId="19" fillId="0" borderId="0"/>
    <xf numFmtId="0" fontId="4" fillId="0" borderId="0"/>
    <xf numFmtId="0" fontId="2" fillId="0" borderId="0"/>
    <xf numFmtId="0" fontId="13" fillId="0" borderId="0"/>
    <xf numFmtId="0" fontId="2" fillId="0" borderId="0"/>
    <xf numFmtId="0" fontId="19" fillId="0" borderId="0"/>
    <xf numFmtId="0" fontId="20" fillId="0" borderId="0"/>
    <xf numFmtId="0" fontId="19" fillId="0" borderId="0"/>
    <xf numFmtId="9" fontId="14" fillId="0" borderId="0" applyFont="0" applyFill="0" applyBorder="0" applyAlignment="0" applyProtection="0"/>
    <xf numFmtId="0" fontId="2" fillId="0" borderId="0"/>
  </cellStyleXfs>
  <cellXfs count="562">
    <xf numFmtId="0" fontId="0" fillId="0" borderId="0" xfId="0"/>
    <xf numFmtId="0" fontId="6" fillId="0" borderId="1" xfId="2" applyFont="1" applyFill="1" applyBorder="1" applyAlignment="1">
      <alignment horizontal="center"/>
    </xf>
    <xf numFmtId="0" fontId="0" fillId="0" borderId="1" xfId="0" applyBorder="1"/>
    <xf numFmtId="0" fontId="3" fillId="0" borderId="1" xfId="4" applyFont="1" applyBorder="1" applyAlignment="1">
      <alignment horizontal="left"/>
    </xf>
    <xf numFmtId="0" fontId="3" fillId="0" borderId="1" xfId="4" applyFont="1" applyBorder="1"/>
    <xf numFmtId="0" fontId="3" fillId="0" borderId="1" xfId="4" applyFont="1" applyBorder="1" applyAlignment="1">
      <alignment wrapText="1"/>
    </xf>
    <xf numFmtId="0" fontId="0" fillId="0" borderId="0" xfId="0" applyBorder="1"/>
    <xf numFmtId="0" fontId="6" fillId="0" borderId="1" xfId="4" applyFont="1" applyBorder="1" applyAlignment="1">
      <alignment horizontal="left"/>
    </xf>
    <xf numFmtId="0" fontId="0" fillId="2" borderId="0" xfId="0" applyFill="1"/>
    <xf numFmtId="0" fontId="7" fillId="2" borderId="1" xfId="0" applyFont="1" applyFill="1" applyBorder="1"/>
    <xf numFmtId="0" fontId="7" fillId="2" borderId="0" xfId="0" applyFont="1" applyFill="1"/>
    <xf numFmtId="10" fontId="7" fillId="2" borderId="0" xfId="0" applyNumberFormat="1" applyFont="1" applyFill="1"/>
    <xf numFmtId="9" fontId="0" fillId="2" borderId="0" xfId="0" applyNumberFormat="1" applyFill="1" applyBorder="1"/>
    <xf numFmtId="0" fontId="8" fillId="2" borderId="0" xfId="0" applyFont="1" applyFill="1" applyAlignment="1">
      <alignment wrapText="1"/>
    </xf>
    <xf numFmtId="10" fontId="8" fillId="2" borderId="0" xfId="0" applyNumberFormat="1" applyFont="1" applyFill="1" applyAlignment="1">
      <alignment wrapText="1"/>
    </xf>
    <xf numFmtId="0" fontId="9" fillId="2" borderId="0" xfId="0" applyFont="1" applyFill="1" applyBorder="1" applyAlignment="1">
      <alignment vertical="center"/>
    </xf>
    <xf numFmtId="10" fontId="7" fillId="2" borderId="1" xfId="0" applyNumberFormat="1" applyFont="1" applyFill="1" applyBorder="1"/>
    <xf numFmtId="0" fontId="8" fillId="2" borderId="0" xfId="0" applyFont="1" applyFill="1" applyAlignment="1">
      <alignment horizontal="center" wrapText="1"/>
    </xf>
    <xf numFmtId="0" fontId="15" fillId="3" borderId="0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/>
    </xf>
    <xf numFmtId="0" fontId="15" fillId="3" borderId="1" xfId="0" applyFont="1" applyFill="1" applyBorder="1"/>
    <xf numFmtId="0" fontId="0" fillId="0" borderId="0" xfId="0" applyFill="1"/>
    <xf numFmtId="0" fontId="0" fillId="0" borderId="1" xfId="0" applyFill="1" applyBorder="1"/>
    <xf numFmtId="0" fontId="0" fillId="3" borderId="1" xfId="0" applyFill="1" applyBorder="1"/>
    <xf numFmtId="0" fontId="0" fillId="2" borderId="1" xfId="0" applyFill="1" applyBorder="1"/>
    <xf numFmtId="0" fontId="5" fillId="0" borderId="1" xfId="4" applyFont="1" applyBorder="1" applyAlignment="1">
      <alignment horizontal="left"/>
    </xf>
    <xf numFmtId="0" fontId="16" fillId="2" borderId="1" xfId="0" applyFont="1" applyFill="1" applyBorder="1" applyAlignment="1">
      <alignment horizontal="right"/>
    </xf>
    <xf numFmtId="0" fontId="3" fillId="4" borderId="1" xfId="2" applyFont="1" applyFill="1" applyBorder="1" applyAlignment="1">
      <alignment vertical="center"/>
    </xf>
    <xf numFmtId="0" fontId="11" fillId="4" borderId="1" xfId="2" applyFont="1" applyFill="1" applyBorder="1" applyAlignment="1">
      <alignment vertical="center"/>
    </xf>
    <xf numFmtId="0" fontId="3" fillId="4" borderId="1" xfId="2" applyFont="1" applyFill="1" applyBorder="1"/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right"/>
    </xf>
    <xf numFmtId="0" fontId="3" fillId="0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right"/>
    </xf>
    <xf numFmtId="0" fontId="0" fillId="8" borderId="0" xfId="0" applyFill="1" applyBorder="1"/>
    <xf numFmtId="0" fontId="24" fillId="2" borderId="1" xfId="0" applyFont="1" applyFill="1" applyBorder="1" applyAlignment="1">
      <alignment horizontal="center"/>
    </xf>
    <xf numFmtId="0" fontId="0" fillId="5" borderId="1" xfId="0" applyFill="1" applyBorder="1"/>
    <xf numFmtId="0" fontId="16" fillId="5" borderId="1" xfId="0" applyFont="1" applyFill="1" applyBorder="1" applyAlignment="1">
      <alignment horizontal="right"/>
    </xf>
    <xf numFmtId="0" fontId="0" fillId="2" borderId="1" xfId="0" applyFill="1" applyBorder="1" applyAlignment="1">
      <alignment horizontal="center"/>
    </xf>
    <xf numFmtId="0" fontId="0" fillId="9" borderId="1" xfId="0" applyFill="1" applyBorder="1"/>
    <xf numFmtId="10" fontId="7" fillId="10" borderId="1" xfId="0" applyNumberFormat="1" applyFont="1" applyFill="1" applyBorder="1"/>
    <xf numFmtId="0" fontId="22" fillId="2" borderId="1" xfId="0" applyFont="1" applyFill="1" applyBorder="1" applyAlignment="1">
      <alignment horizontal="right"/>
    </xf>
    <xf numFmtId="0" fontId="0" fillId="0" borderId="0" xfId="0" applyFill="1" applyBorder="1"/>
    <xf numFmtId="0" fontId="10" fillId="0" borderId="1" xfId="0" applyFont="1" applyBorder="1" applyAlignment="1">
      <alignment horizontal="left"/>
    </xf>
    <xf numFmtId="0" fontId="10" fillId="2" borderId="1" xfId="0" applyFont="1" applyFill="1" applyBorder="1" applyAlignment="1"/>
    <xf numFmtId="0" fontId="0" fillId="2" borderId="1" xfId="0" applyFont="1" applyFill="1" applyBorder="1"/>
    <xf numFmtId="0" fontId="7" fillId="2" borderId="1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7" fillId="11" borderId="4" xfId="1" applyFont="1" applyFill="1" applyBorder="1" applyAlignment="1" applyProtection="1">
      <alignment vertical="center"/>
    </xf>
    <xf numFmtId="0" fontId="7" fillId="11" borderId="5" xfId="1" applyFont="1" applyFill="1" applyBorder="1" applyAlignment="1" applyProtection="1">
      <alignment vertical="center"/>
    </xf>
    <xf numFmtId="0" fontId="6" fillId="0" borderId="1" xfId="5" applyFont="1" applyBorder="1" applyAlignment="1">
      <alignment horizontal="center"/>
    </xf>
    <xf numFmtId="0" fontId="3" fillId="0" borderId="1" xfId="5" applyFont="1" applyFill="1" applyBorder="1" applyAlignment="1">
      <alignment horizontal="left"/>
    </xf>
    <xf numFmtId="0" fontId="3" fillId="0" borderId="1" xfId="5" applyFont="1" applyFill="1" applyBorder="1"/>
    <xf numFmtId="0" fontId="3" fillId="0" borderId="1" xfId="5" applyFont="1" applyFill="1" applyBorder="1" applyAlignment="1">
      <alignment wrapText="1"/>
    </xf>
    <xf numFmtId="0" fontId="10" fillId="3" borderId="2" xfId="0" applyFont="1" applyFill="1" applyBorder="1" applyAlignment="1">
      <alignment horizontal="left"/>
    </xf>
    <xf numFmtId="1" fontId="25" fillId="2" borderId="1" xfId="0" applyNumberFormat="1" applyFont="1" applyFill="1" applyBorder="1" applyAlignment="1">
      <alignment horizontal="right"/>
    </xf>
    <xf numFmtId="1" fontId="25" fillId="9" borderId="1" xfId="0" applyNumberFormat="1" applyFont="1" applyFill="1" applyBorder="1" applyAlignment="1">
      <alignment horizontal="right"/>
    </xf>
    <xf numFmtId="0" fontId="15" fillId="3" borderId="6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0" fillId="0" borderId="1" xfId="2" applyFont="1" applyFill="1" applyBorder="1" applyAlignment="1">
      <alignment horizontal="center"/>
    </xf>
    <xf numFmtId="0" fontId="10" fillId="9" borderId="1" xfId="0" applyFont="1" applyFill="1" applyBorder="1" applyAlignment="1"/>
    <xf numFmtId="0" fontId="10" fillId="9" borderId="1" xfId="0" applyFont="1" applyFill="1" applyBorder="1" applyAlignment="1">
      <alignment horizontal="right"/>
    </xf>
    <xf numFmtId="0" fontId="0" fillId="0" borderId="0" xfId="0" applyNumberFormat="1"/>
    <xf numFmtId="9" fontId="23" fillId="2" borderId="1" xfId="0" applyNumberFormat="1" applyFont="1" applyFill="1" applyBorder="1" applyProtection="1">
      <protection locked="0"/>
    </xf>
    <xf numFmtId="0" fontId="34" fillId="0" borderId="1" xfId="0" applyFont="1" applyBorder="1" applyAlignment="1">
      <alignment horizontal="center"/>
    </xf>
    <xf numFmtId="0" fontId="0" fillId="12" borderId="0" xfId="0" applyFill="1" applyBorder="1"/>
    <xf numFmtId="0" fontId="10" fillId="3" borderId="1" xfId="0" applyFont="1" applyFill="1" applyBorder="1" applyAlignment="1">
      <alignment horizontal="left"/>
    </xf>
    <xf numFmtId="0" fontId="10" fillId="13" borderId="1" xfId="0" applyFont="1" applyFill="1" applyBorder="1" applyAlignment="1">
      <alignment horizontal="left"/>
    </xf>
    <xf numFmtId="0" fontId="0" fillId="0" borderId="1" xfId="0" applyBorder="1" applyAlignment="1">
      <alignment vertical="center"/>
    </xf>
    <xf numFmtId="0" fontId="0" fillId="14" borderId="1" xfId="0" applyFill="1" applyBorder="1"/>
    <xf numFmtId="0" fontId="0" fillId="14" borderId="2" xfId="0" applyFill="1" applyBorder="1"/>
    <xf numFmtId="0" fontId="0" fillId="0" borderId="2" xfId="0" applyBorder="1"/>
    <xf numFmtId="0" fontId="0" fillId="13" borderId="2" xfId="0" applyFill="1" applyBorder="1"/>
    <xf numFmtId="0" fontId="0" fillId="0" borderId="1" xfId="0" applyFill="1" applyBorder="1" applyAlignment="1">
      <alignment vertical="center"/>
    </xf>
    <xf numFmtId="0" fontId="0" fillId="0" borderId="3" xfId="0" applyBorder="1"/>
    <xf numFmtId="0" fontId="27" fillId="0" borderId="1" xfId="5" applyFont="1" applyBorder="1" applyAlignment="1"/>
    <xf numFmtId="0" fontId="3" fillId="14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/>
    </xf>
    <xf numFmtId="0" fontId="27" fillId="14" borderId="1" xfId="0" applyFont="1" applyFill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27" fillId="13" borderId="1" xfId="0" applyFont="1" applyFill="1" applyBorder="1" applyAlignment="1">
      <alignment horizontal="center"/>
    </xf>
    <xf numFmtId="0" fontId="28" fillId="0" borderId="1" xfId="5" applyFont="1" applyBorder="1" applyAlignment="1"/>
    <xf numFmtId="0" fontId="10" fillId="14" borderId="1" xfId="0" applyFont="1" applyFill="1" applyBorder="1" applyAlignment="1"/>
    <xf numFmtId="0" fontId="10" fillId="0" borderId="1" xfId="0" applyFont="1" applyBorder="1" applyAlignment="1"/>
    <xf numFmtId="0" fontId="24" fillId="14" borderId="1" xfId="0" applyFont="1" applyFill="1" applyBorder="1" applyAlignment="1">
      <alignment horizontal="center"/>
    </xf>
    <xf numFmtId="0" fontId="24" fillId="13" borderId="1" xfId="0" applyFont="1" applyFill="1" applyBorder="1" applyAlignment="1">
      <alignment horizontal="center"/>
    </xf>
    <xf numFmtId="0" fontId="28" fillId="0" borderId="1" xfId="5" applyFont="1" applyBorder="1" applyAlignment="1">
      <alignment wrapText="1"/>
    </xf>
    <xf numFmtId="9" fontId="29" fillId="14" borderId="1" xfId="0" applyNumberFormat="1" applyFont="1" applyFill="1" applyBorder="1" applyAlignment="1">
      <alignment horizontal="center"/>
    </xf>
    <xf numFmtId="9" fontId="29" fillId="2" borderId="1" xfId="0" applyNumberFormat="1" applyFont="1" applyFill="1" applyBorder="1" applyAlignment="1">
      <alignment horizontal="center"/>
    </xf>
    <xf numFmtId="9" fontId="29" fillId="13" borderId="1" xfId="0" applyNumberFormat="1" applyFont="1" applyFill="1" applyBorder="1" applyAlignment="1">
      <alignment horizontal="center"/>
    </xf>
    <xf numFmtId="0" fontId="6" fillId="0" borderId="1" xfId="5" applyFont="1" applyBorder="1" applyAlignment="1">
      <alignment horizontal="left"/>
    </xf>
    <xf numFmtId="0" fontId="5" fillId="0" borderId="1" xfId="5" applyFont="1" applyBorder="1" applyAlignment="1">
      <alignment horizontal="left"/>
    </xf>
    <xf numFmtId="0" fontId="10" fillId="14" borderId="1" xfId="0" applyFont="1" applyFill="1" applyBorder="1" applyAlignment="1">
      <alignment horizontal="left"/>
    </xf>
    <xf numFmtId="0" fontId="3" fillId="0" borderId="1" xfId="5" applyFont="1" applyBorder="1" applyAlignment="1">
      <alignment horizontal="left"/>
    </xf>
    <xf numFmtId="0" fontId="3" fillId="0" borderId="1" xfId="5" applyFont="1" applyBorder="1"/>
    <xf numFmtId="0" fontId="0" fillId="14" borderId="1" xfId="0" applyFill="1" applyBorder="1" applyAlignment="1">
      <alignment horizontal="right"/>
    </xf>
    <xf numFmtId="0" fontId="10" fillId="14" borderId="1" xfId="0" applyFont="1" applyFill="1" applyBorder="1" applyAlignment="1">
      <alignment horizontal="right"/>
    </xf>
    <xf numFmtId="0" fontId="3" fillId="0" borderId="1" xfId="5" applyFont="1" applyBorder="1" applyAlignment="1">
      <alignment wrapText="1"/>
    </xf>
    <xf numFmtId="0" fontId="2" fillId="0" borderId="0" xfId="5"/>
    <xf numFmtId="0" fontId="0" fillId="0" borderId="7" xfId="0" applyBorder="1"/>
    <xf numFmtId="0" fontId="0" fillId="15" borderId="0" xfId="0" applyFill="1" applyBorder="1"/>
    <xf numFmtId="0" fontId="0" fillId="15" borderId="0" xfId="0" applyFill="1" applyBorder="1" applyAlignment="1">
      <alignment horizontal="center"/>
    </xf>
    <xf numFmtId="0" fontId="0" fillId="15" borderId="0" xfId="0" applyFill="1"/>
    <xf numFmtId="0" fontId="0" fillId="16" borderId="6" xfId="0" applyFill="1" applyBorder="1"/>
    <xf numFmtId="0" fontId="0" fillId="14" borderId="2" xfId="0" applyFill="1" applyBorder="1" applyAlignment="1">
      <alignment horizontal="center"/>
    </xf>
    <xf numFmtId="0" fontId="0" fillId="16" borderId="6" xfId="0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16" borderId="1" xfId="0" applyFont="1" applyFill="1" applyBorder="1" applyAlignment="1">
      <alignment horizontal="right"/>
    </xf>
    <xf numFmtId="0" fontId="0" fillId="16" borderId="1" xfId="0" applyFill="1" applyBorder="1"/>
    <xf numFmtId="0" fontId="0" fillId="16" borderId="1" xfId="0" applyFill="1" applyBorder="1" applyAlignment="1">
      <alignment horizontal="center"/>
    </xf>
    <xf numFmtId="9" fontId="0" fillId="16" borderId="1" xfId="0" applyNumberForma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0" fillId="16" borderId="1" xfId="0" applyFont="1" applyFill="1" applyBorder="1" applyAlignment="1">
      <alignment horizontal="left"/>
    </xf>
    <xf numFmtId="0" fontId="0" fillId="0" borderId="1" xfId="0" applyFill="1" applyBorder="1" applyAlignment="1">
      <alignment horizontal="center"/>
    </xf>
    <xf numFmtId="9" fontId="29" fillId="14" borderId="1" xfId="11" applyFont="1" applyFill="1" applyBorder="1" applyAlignment="1">
      <alignment horizontal="center"/>
    </xf>
    <xf numFmtId="0" fontId="35" fillId="0" borderId="1" xfId="5" applyFont="1" applyBorder="1" applyAlignment="1"/>
    <xf numFmtId="0" fontId="36" fillId="0" borderId="6" xfId="0" applyFont="1" applyFill="1" applyBorder="1" applyAlignment="1">
      <alignment horizontal="center"/>
    </xf>
    <xf numFmtId="0" fontId="36" fillId="18" borderId="6" xfId="0" applyFont="1" applyFill="1" applyBorder="1" applyAlignment="1">
      <alignment horizontal="center"/>
    </xf>
    <xf numFmtId="0" fontId="36" fillId="0" borderId="1" xfId="0" applyFont="1" applyFill="1" applyBorder="1" applyAlignment="1">
      <alignment horizontal="center"/>
    </xf>
    <xf numFmtId="0" fontId="0" fillId="19" borderId="6" xfId="0" applyFill="1" applyBorder="1" applyAlignment="1">
      <alignment horizontal="center"/>
    </xf>
    <xf numFmtId="0" fontId="0" fillId="19" borderId="8" xfId="0" applyFill="1" applyBorder="1" applyAlignment="1">
      <alignment horizontal="center"/>
    </xf>
    <xf numFmtId="0" fontId="0" fillId="19" borderId="2" xfId="0" applyFill="1" applyBorder="1" applyAlignment="1">
      <alignment horizontal="center"/>
    </xf>
    <xf numFmtId="0" fontId="0" fillId="19" borderId="1" xfId="0" applyFill="1" applyBorder="1" applyAlignment="1">
      <alignment horizontal="center"/>
    </xf>
    <xf numFmtId="9" fontId="0" fillId="19" borderId="1" xfId="0" applyNumberFormat="1" applyFill="1" applyBorder="1" applyAlignment="1">
      <alignment horizontal="center"/>
    </xf>
    <xf numFmtId="0" fontId="0" fillId="19" borderId="0" xfId="0" applyFill="1" applyAlignment="1">
      <alignment horizontal="center"/>
    </xf>
    <xf numFmtId="0" fontId="37" fillId="16" borderId="1" xfId="0" applyFont="1" applyFill="1" applyBorder="1" applyAlignment="1">
      <alignment horizontal="center"/>
    </xf>
    <xf numFmtId="0" fontId="37" fillId="19" borderId="1" xfId="0" applyFont="1" applyFill="1" applyBorder="1" applyAlignment="1">
      <alignment horizontal="center"/>
    </xf>
    <xf numFmtId="0" fontId="37" fillId="16" borderId="6" xfId="0" applyFont="1" applyFill="1" applyBorder="1" applyAlignment="1">
      <alignment horizontal="center"/>
    </xf>
    <xf numFmtId="9" fontId="37" fillId="16" borderId="1" xfId="0" applyNumberFormat="1" applyFont="1" applyFill="1" applyBorder="1" applyAlignment="1">
      <alignment horizontal="center"/>
    </xf>
    <xf numFmtId="9" fontId="37" fillId="19" borderId="1" xfId="0" applyNumberFormat="1" applyFont="1" applyFill="1" applyBorder="1" applyAlignment="1">
      <alignment horizontal="center"/>
    </xf>
    <xf numFmtId="0" fontId="33" fillId="16" borderId="1" xfId="0" applyFont="1" applyFill="1" applyBorder="1" applyAlignment="1">
      <alignment horizontal="center"/>
    </xf>
    <xf numFmtId="0" fontId="33" fillId="19" borderId="1" xfId="0" applyFont="1" applyFill="1" applyBorder="1" applyAlignment="1">
      <alignment horizontal="center"/>
    </xf>
    <xf numFmtId="0" fontId="33" fillId="16" borderId="6" xfId="0" applyFont="1" applyFill="1" applyBorder="1" applyAlignment="1">
      <alignment horizontal="center"/>
    </xf>
    <xf numFmtId="9" fontId="37" fillId="16" borderId="6" xfId="0" applyNumberFormat="1" applyFont="1" applyFill="1" applyBorder="1" applyAlignment="1">
      <alignment horizontal="center"/>
    </xf>
    <xf numFmtId="0" fontId="10" fillId="20" borderId="1" xfId="0" applyFont="1" applyFill="1" applyBorder="1" applyAlignment="1">
      <alignment horizontal="right"/>
    </xf>
    <xf numFmtId="0" fontId="3" fillId="0" borderId="1" xfId="2" applyFont="1" applyFill="1" applyBorder="1"/>
    <xf numFmtId="0" fontId="1" fillId="0" borderId="1" xfId="0" applyFont="1" applyFill="1" applyBorder="1" applyAlignment="1">
      <alignment vertical="center"/>
    </xf>
    <xf numFmtId="0" fontId="0" fillId="0" borderId="0" xfId="0" applyFont="1" applyFill="1"/>
    <xf numFmtId="1" fontId="21" fillId="0" borderId="3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/>
    <xf numFmtId="0" fontId="3" fillId="0" borderId="1" xfId="2" applyFont="1" applyFill="1" applyBorder="1" applyAlignment="1">
      <alignment vertical="center"/>
    </xf>
    <xf numFmtId="0" fontId="31" fillId="0" borderId="1" xfId="0" applyFont="1" applyBorder="1" applyAlignment="1">
      <alignment horizontal="center"/>
    </xf>
    <xf numFmtId="0" fontId="3" fillId="23" borderId="1" xfId="0" applyFont="1" applyFill="1" applyBorder="1" applyAlignment="1">
      <alignment horizontal="center"/>
    </xf>
    <xf numFmtId="0" fontId="10" fillId="23" borderId="1" xfId="0" applyFont="1" applyFill="1" applyBorder="1" applyAlignment="1">
      <alignment horizontal="center"/>
    </xf>
    <xf numFmtId="0" fontId="10" fillId="23" borderId="1" xfId="2" applyFont="1" applyFill="1" applyBorder="1" applyAlignment="1">
      <alignment horizontal="center"/>
    </xf>
    <xf numFmtId="0" fontId="41" fillId="2" borderId="0" xfId="0" applyFont="1" applyFill="1"/>
    <xf numFmtId="0" fontId="31" fillId="20" borderId="10" xfId="0" applyFont="1" applyFill="1" applyBorder="1"/>
    <xf numFmtId="0" fontId="42" fillId="20" borderId="11" xfId="0" applyFont="1" applyFill="1" applyBorder="1"/>
    <xf numFmtId="0" fontId="31" fillId="20" borderId="12" xfId="0" applyFont="1" applyFill="1" applyBorder="1" applyAlignment="1">
      <alignment horizontal="center"/>
    </xf>
    <xf numFmtId="10" fontId="7" fillId="20" borderId="12" xfId="0" applyNumberFormat="1" applyFont="1" applyFill="1" applyBorder="1"/>
    <xf numFmtId="10" fontId="7" fillId="10" borderId="12" xfId="0" applyNumberFormat="1" applyFont="1" applyFill="1" applyBorder="1"/>
    <xf numFmtId="0" fontId="43" fillId="0" borderId="1" xfId="0" applyFont="1" applyBorder="1" applyAlignment="1">
      <alignment horizontal="center"/>
    </xf>
    <xf numFmtId="0" fontId="5" fillId="0" borderId="1" xfId="0" applyFont="1" applyFill="1" applyBorder="1" applyAlignment="1"/>
    <xf numFmtId="0" fontId="0" fillId="0" borderId="0" xfId="0" applyFill="1" applyBorder="1" applyAlignment="1"/>
    <xf numFmtId="0" fontId="0" fillId="0" borderId="8" xfId="0" applyFill="1" applyBorder="1" applyAlignment="1"/>
    <xf numFmtId="0" fontId="43" fillId="25" borderId="1" xfId="0" applyFont="1" applyFill="1" applyBorder="1"/>
    <xf numFmtId="0" fontId="10" fillId="0" borderId="1" xfId="2" applyNumberFormat="1" applyFont="1" applyBorder="1" applyAlignment="1">
      <alignment horizontal="center"/>
    </xf>
    <xf numFmtId="0" fontId="0" fillId="0" borderId="1" xfId="0" applyFont="1" applyBorder="1" applyAlignment="1">
      <alignment horizontal="left" vertical="top" wrapText="1"/>
    </xf>
    <xf numFmtId="0" fontId="43" fillId="0" borderId="1" xfId="0" applyFont="1" applyFill="1" applyBorder="1"/>
    <xf numFmtId="0" fontId="0" fillId="0" borderId="6" xfId="0" applyFill="1" applyBorder="1" applyAlignment="1"/>
    <xf numFmtId="0" fontId="0" fillId="0" borderId="2" xfId="0" applyFill="1" applyBorder="1" applyAlignment="1"/>
    <xf numFmtId="0" fontId="39" fillId="0" borderId="6" xfId="0" applyFont="1" applyFill="1" applyBorder="1" applyAlignment="1"/>
    <xf numFmtId="0" fontId="10" fillId="5" borderId="1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right"/>
    </xf>
    <xf numFmtId="0" fontId="43" fillId="25" borderId="1" xfId="0" applyFont="1" applyFill="1" applyBorder="1" applyAlignment="1">
      <alignment horizontal="left"/>
    </xf>
    <xf numFmtId="0" fontId="0" fillId="0" borderId="1" xfId="0" applyFont="1" applyBorder="1"/>
    <xf numFmtId="0" fontId="10" fillId="0" borderId="0" xfId="0" applyFont="1" applyFill="1" applyBorder="1" applyAlignment="1">
      <alignment horizontal="center"/>
    </xf>
    <xf numFmtId="0" fontId="1" fillId="0" borderId="6" xfId="0" applyFont="1" applyFill="1" applyBorder="1" applyAlignment="1">
      <alignment vertical="center"/>
    </xf>
    <xf numFmtId="0" fontId="0" fillId="0" borderId="0" xfId="0" applyFont="1" applyBorder="1"/>
    <xf numFmtId="0" fontId="39" fillId="23" borderId="2" xfId="0" applyFont="1" applyFill="1" applyBorder="1" applyAlignment="1">
      <alignment horizontal="right"/>
    </xf>
    <xf numFmtId="0" fontId="0" fillId="0" borderId="3" xfId="0" applyFont="1" applyBorder="1"/>
    <xf numFmtId="0" fontId="43" fillId="25" borderId="6" xfId="0" applyFont="1" applyFill="1" applyBorder="1" applyAlignment="1">
      <alignment horizontal="left"/>
    </xf>
    <xf numFmtId="0" fontId="3" fillId="2" borderId="1" xfId="2" applyFont="1" applyFill="1" applyBorder="1"/>
    <xf numFmtId="0" fontId="10" fillId="2" borderId="1" xfId="2" applyFont="1" applyFill="1" applyBorder="1"/>
    <xf numFmtId="0" fontId="10" fillId="2" borderId="1" xfId="0" applyFont="1" applyFill="1" applyBorder="1"/>
    <xf numFmtId="0" fontId="43" fillId="0" borderId="1" xfId="0" applyFont="1" applyBorder="1"/>
    <xf numFmtId="0" fontId="40" fillId="0" borderId="1" xfId="0" applyFont="1" applyBorder="1"/>
    <xf numFmtId="0" fontId="10" fillId="0" borderId="1" xfId="2" applyFont="1" applyFill="1" applyBorder="1"/>
    <xf numFmtId="0" fontId="3" fillId="28" borderId="1" xfId="2" applyFont="1" applyFill="1" applyBorder="1"/>
    <xf numFmtId="0" fontId="43" fillId="0" borderId="0" xfId="0" applyFont="1" applyFill="1" applyBorder="1" applyAlignment="1">
      <alignment wrapText="1"/>
    </xf>
    <xf numFmtId="0" fontId="0" fillId="0" borderId="0" xfId="0" applyFill="1" applyAlignment="1">
      <alignment wrapText="1"/>
    </xf>
    <xf numFmtId="0" fontId="0" fillId="0" borderId="0" xfId="0" applyFill="1" applyBorder="1" applyAlignment="1">
      <alignment wrapText="1"/>
    </xf>
    <xf numFmtId="15" fontId="31" fillId="2" borderId="1" xfId="0" applyNumberFormat="1" applyFont="1" applyFill="1" applyBorder="1" applyProtection="1">
      <protection locked="0"/>
    </xf>
    <xf numFmtId="0" fontId="39" fillId="23" borderId="3" xfId="0" applyFont="1" applyFill="1" applyBorder="1" applyAlignment="1">
      <alignment horizontal="right"/>
    </xf>
    <xf numFmtId="1" fontId="21" fillId="0" borderId="2" xfId="0" applyNumberFormat="1" applyFont="1" applyFill="1" applyBorder="1" applyAlignment="1">
      <alignment horizontal="center"/>
    </xf>
    <xf numFmtId="0" fontId="15" fillId="3" borderId="20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39" fillId="0" borderId="6" xfId="0" applyFont="1" applyBorder="1" applyAlignment="1">
      <alignment horizontal="right"/>
    </xf>
    <xf numFmtId="0" fontId="0" fillId="32" borderId="0" xfId="0" applyFill="1"/>
    <xf numFmtId="0" fontId="10" fillId="0" borderId="3" xfId="0" applyFont="1" applyFill="1" applyBorder="1"/>
    <xf numFmtId="0" fontId="39" fillId="23" borderId="7" xfId="0" applyFont="1" applyFill="1" applyBorder="1" applyAlignment="1">
      <alignment horizontal="right"/>
    </xf>
    <xf numFmtId="0" fontId="10" fillId="23" borderId="3" xfId="0" applyFont="1" applyFill="1" applyBorder="1" applyAlignment="1">
      <alignment horizontal="center"/>
    </xf>
    <xf numFmtId="0" fontId="0" fillId="0" borderId="23" xfId="0" applyFont="1" applyBorder="1"/>
    <xf numFmtId="0" fontId="0" fillId="0" borderId="24" xfId="0" applyFont="1" applyBorder="1"/>
    <xf numFmtId="0" fontId="3" fillId="0" borderId="20" xfId="0" applyFont="1" applyBorder="1" applyAlignment="1">
      <alignment wrapText="1"/>
    </xf>
    <xf numFmtId="0" fontId="3" fillId="2" borderId="20" xfId="0" applyFont="1" applyFill="1" applyBorder="1" applyAlignment="1"/>
    <xf numFmtId="0" fontId="39" fillId="0" borderId="21" xfId="0" applyFont="1" applyBorder="1" applyAlignment="1">
      <alignment horizontal="right"/>
    </xf>
    <xf numFmtId="0" fontId="3" fillId="4" borderId="26" xfId="2" applyNumberFormat="1" applyFont="1" applyFill="1" applyBorder="1" applyAlignment="1"/>
    <xf numFmtId="0" fontId="39" fillId="0" borderId="23" xfId="0" applyFont="1" applyBorder="1" applyAlignment="1">
      <alignment horizontal="right"/>
    </xf>
    <xf numFmtId="0" fontId="3" fillId="6" borderId="20" xfId="0" applyFont="1" applyFill="1" applyBorder="1" applyAlignment="1"/>
    <xf numFmtId="0" fontId="39" fillId="0" borderId="20" xfId="0" applyFont="1" applyBorder="1" applyAlignment="1">
      <alignment horizontal="right"/>
    </xf>
    <xf numFmtId="0" fontId="0" fillId="32" borderId="24" xfId="0" applyFont="1" applyFill="1" applyBorder="1"/>
    <xf numFmtId="0" fontId="0" fillId="0" borderId="26" xfId="0" applyFont="1" applyBorder="1"/>
    <xf numFmtId="0" fontId="11" fillId="0" borderId="20" xfId="0" applyFont="1" applyBorder="1" applyAlignment="1">
      <alignment wrapText="1"/>
    </xf>
    <xf numFmtId="0" fontId="3" fillId="21" borderId="20" xfId="0" applyFont="1" applyFill="1" applyBorder="1" applyAlignment="1"/>
    <xf numFmtId="0" fontId="0" fillId="17" borderId="20" xfId="0" applyFont="1" applyFill="1" applyBorder="1" applyAlignment="1">
      <alignment horizontal="right"/>
    </xf>
    <xf numFmtId="0" fontId="3" fillId="28" borderId="20" xfId="0" applyFont="1" applyFill="1" applyBorder="1" applyAlignment="1"/>
    <xf numFmtId="0" fontId="3" fillId="28" borderId="26" xfId="2" applyNumberFormat="1" applyFont="1" applyFill="1" applyBorder="1" applyAlignment="1"/>
    <xf numFmtId="0" fontId="3" fillId="0" borderId="20" xfId="0" applyFont="1" applyBorder="1" applyAlignment="1"/>
    <xf numFmtId="0" fontId="10" fillId="0" borderId="20" xfId="0" applyFont="1" applyBorder="1" applyAlignment="1"/>
    <xf numFmtId="0" fontId="3" fillId="4" borderId="26" xfId="2" applyNumberFormat="1" applyFont="1" applyFill="1" applyBorder="1" applyAlignment="1">
      <alignment vertical="center"/>
    </xf>
    <xf numFmtId="0" fontId="3" fillId="0" borderId="20" xfId="0" applyNumberFormat="1" applyFont="1" applyBorder="1" applyAlignment="1">
      <alignment horizontal="left" vertical="center" wrapText="1"/>
    </xf>
    <xf numFmtId="0" fontId="3" fillId="7" borderId="20" xfId="0" applyFont="1" applyFill="1" applyBorder="1" applyAlignment="1"/>
    <xf numFmtId="0" fontId="3" fillId="0" borderId="24" xfId="0" applyNumberFormat="1" applyFont="1" applyBorder="1" applyAlignment="1">
      <alignment horizontal="left" vertical="center" wrapText="1"/>
    </xf>
    <xf numFmtId="0" fontId="10" fillId="2" borderId="24" xfId="2" applyNumberFormat="1" applyFont="1" applyFill="1" applyBorder="1" applyAlignment="1"/>
    <xf numFmtId="0" fontId="11" fillId="0" borderId="20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3" fillId="0" borderId="27" xfId="0" applyFont="1" applyBorder="1" applyAlignment="1">
      <alignment wrapText="1"/>
    </xf>
    <xf numFmtId="0" fontId="11" fillId="0" borderId="20" xfId="0" applyFont="1" applyBorder="1" applyAlignment="1"/>
    <xf numFmtId="0" fontId="10" fillId="6" borderId="20" xfId="0" applyFont="1" applyFill="1" applyBorder="1" applyAlignment="1">
      <alignment horizontal="left"/>
    </xf>
    <xf numFmtId="0" fontId="3" fillId="30" borderId="20" xfId="0" applyFont="1" applyFill="1" applyBorder="1" applyAlignment="1"/>
    <xf numFmtId="0" fontId="3" fillId="0" borderId="26" xfId="2" applyNumberFormat="1" applyFont="1" applyBorder="1" applyAlignment="1"/>
    <xf numFmtId="0" fontId="3" fillId="2" borderId="20" xfId="0" applyFont="1" applyFill="1" applyBorder="1" applyAlignment="1">
      <alignment vertical="center"/>
    </xf>
    <xf numFmtId="0" fontId="11" fillId="4" borderId="26" xfId="2" applyNumberFormat="1" applyFont="1" applyFill="1" applyBorder="1" applyAlignment="1">
      <alignment vertical="center"/>
    </xf>
    <xf numFmtId="0" fontId="10" fillId="4" borderId="26" xfId="2" applyNumberFormat="1" applyFont="1" applyFill="1" applyBorder="1" applyAlignment="1"/>
    <xf numFmtId="0" fontId="10" fillId="0" borderId="20" xfId="0" applyFont="1" applyBorder="1" applyAlignment="1">
      <alignment wrapText="1"/>
    </xf>
    <xf numFmtId="0" fontId="3" fillId="7" borderId="20" xfId="0" applyFont="1" applyFill="1" applyBorder="1" applyAlignment="1">
      <alignment vertical="center"/>
    </xf>
    <xf numFmtId="0" fontId="3" fillId="27" borderId="20" xfId="0" applyFont="1" applyFill="1" applyBorder="1" applyAlignment="1"/>
    <xf numFmtId="0" fontId="3" fillId="0" borderId="20" xfId="8" applyNumberFormat="1" applyFont="1" applyBorder="1" applyAlignment="1">
      <alignment wrapText="1"/>
    </xf>
    <xf numFmtId="0" fontId="43" fillId="25" borderId="26" xfId="0" applyFont="1" applyFill="1" applyBorder="1"/>
    <xf numFmtId="0" fontId="0" fillId="0" borderId="28" xfId="0" applyFont="1" applyBorder="1"/>
    <xf numFmtId="0" fontId="43" fillId="0" borderId="20" xfId="0" applyFont="1" applyBorder="1" applyAlignment="1">
      <alignment wrapText="1"/>
    </xf>
    <xf numFmtId="0" fontId="43" fillId="25" borderId="20" xfId="0" applyFont="1" applyFill="1" applyBorder="1"/>
    <xf numFmtId="0" fontId="3" fillId="9" borderId="20" xfId="0" applyFont="1" applyFill="1" applyBorder="1" applyAlignment="1"/>
    <xf numFmtId="0" fontId="11" fillId="28" borderId="26" xfId="2" applyNumberFormat="1" applyFont="1" applyFill="1" applyBorder="1" applyAlignment="1"/>
    <xf numFmtId="0" fontId="3" fillId="0" borderId="24" xfId="0" applyFont="1" applyBorder="1" applyAlignment="1">
      <alignment wrapText="1"/>
    </xf>
    <xf numFmtId="0" fontId="11" fillId="7" borderId="20" xfId="0" applyFont="1" applyFill="1" applyBorder="1" applyAlignment="1"/>
    <xf numFmtId="0" fontId="38" fillId="0" borderId="20" xfId="0" applyFont="1" applyBorder="1" applyAlignment="1"/>
    <xf numFmtId="0" fontId="38" fillId="4" borderId="26" xfId="2" applyNumberFormat="1" applyFont="1" applyFill="1" applyBorder="1" applyAlignment="1"/>
    <xf numFmtId="0" fontId="45" fillId="0" borderId="20" xfId="0" applyFont="1" applyBorder="1"/>
    <xf numFmtId="0" fontId="45" fillId="0" borderId="26" xfId="0" applyFont="1" applyBorder="1"/>
    <xf numFmtId="0" fontId="0" fillId="0" borderId="20" xfId="0" applyFont="1" applyBorder="1" applyAlignment="1">
      <alignment wrapText="1"/>
    </xf>
    <xf numFmtId="0" fontId="10" fillId="0" borderId="20" xfId="2" applyNumberFormat="1" applyFont="1" applyBorder="1" applyAlignment="1">
      <alignment wrapText="1"/>
    </xf>
    <xf numFmtId="0" fontId="3" fillId="25" borderId="20" xfId="2" applyNumberFormat="1" applyFont="1" applyFill="1" applyBorder="1" applyAlignment="1"/>
    <xf numFmtId="0" fontId="3" fillId="25" borderId="26" xfId="2" applyNumberFormat="1" applyFont="1" applyFill="1" applyBorder="1" applyAlignment="1"/>
    <xf numFmtId="0" fontId="38" fillId="0" borderId="26" xfId="0" applyFont="1" applyBorder="1" applyAlignment="1"/>
    <xf numFmtId="0" fontId="3" fillId="28" borderId="26" xfId="0" applyFont="1" applyFill="1" applyBorder="1" applyAlignment="1"/>
    <xf numFmtId="0" fontId="43" fillId="0" borderId="27" xfId="0" applyFont="1" applyBorder="1" applyAlignment="1">
      <alignment wrapText="1"/>
    </xf>
    <xf numFmtId="0" fontId="43" fillId="30" borderId="20" xfId="0" applyFont="1" applyFill="1" applyBorder="1"/>
    <xf numFmtId="0" fontId="43" fillId="30" borderId="26" xfId="0" applyFont="1" applyFill="1" applyBorder="1"/>
    <xf numFmtId="0" fontId="3" fillId="2" borderId="26" xfId="0" applyFont="1" applyFill="1" applyBorder="1" applyAlignment="1"/>
    <xf numFmtId="0" fontId="39" fillId="0" borderId="9" xfId="0" applyFont="1" applyBorder="1" applyAlignment="1">
      <alignment horizontal="right"/>
    </xf>
    <xf numFmtId="0" fontId="0" fillId="0" borderId="20" xfId="0" applyFont="1" applyBorder="1"/>
    <xf numFmtId="0" fontId="3" fillId="0" borderId="26" xfId="0" applyFont="1" applyBorder="1" applyAlignment="1">
      <alignment vertical="center"/>
    </xf>
    <xf numFmtId="0" fontId="3" fillId="21" borderId="26" xfId="0" applyFont="1" applyFill="1" applyBorder="1" applyAlignment="1"/>
    <xf numFmtId="0" fontId="0" fillId="17" borderId="23" xfId="0" applyFont="1" applyFill="1" applyBorder="1" applyAlignment="1">
      <alignment horizontal="right"/>
    </xf>
    <xf numFmtId="0" fontId="3" fillId="6" borderId="26" xfId="0" applyFont="1" applyFill="1" applyBorder="1" applyAlignment="1"/>
    <xf numFmtId="0" fontId="3" fillId="4" borderId="20" xfId="2" applyNumberFormat="1" applyFont="1" applyFill="1" applyBorder="1" applyAlignment="1"/>
    <xf numFmtId="0" fontId="3" fillId="28" borderId="20" xfId="2" applyNumberFormat="1" applyFont="1" applyFill="1" applyBorder="1" applyAlignment="1"/>
    <xf numFmtId="0" fontId="3" fillId="30" borderId="26" xfId="0" applyFont="1" applyFill="1" applyBorder="1" applyAlignment="1"/>
    <xf numFmtId="0" fontId="43" fillId="25" borderId="26" xfId="0" applyFont="1" applyFill="1" applyBorder="1" applyAlignment="1">
      <alignment horizontal="left"/>
    </xf>
    <xf numFmtId="0" fontId="43" fillId="25" borderId="20" xfId="0" applyFont="1" applyFill="1" applyBorder="1" applyAlignment="1">
      <alignment horizontal="left"/>
    </xf>
    <xf numFmtId="0" fontId="3" fillId="0" borderId="20" xfId="0" applyFont="1" applyBorder="1" applyAlignment="1">
      <alignment horizontal="left" wrapText="1"/>
    </xf>
    <xf numFmtId="0" fontId="3" fillId="7" borderId="26" xfId="0" applyFont="1" applyFill="1" applyBorder="1" applyAlignment="1"/>
    <xf numFmtId="0" fontId="3" fillId="0" borderId="26" xfId="0" applyFont="1" applyBorder="1" applyAlignment="1"/>
    <xf numFmtId="0" fontId="22" fillId="0" borderId="20" xfId="0" applyFont="1" applyBorder="1" applyAlignment="1">
      <alignment wrapText="1"/>
    </xf>
    <xf numFmtId="0" fontId="43" fillId="25" borderId="23" xfId="0" applyFont="1" applyFill="1" applyBorder="1" applyAlignment="1">
      <alignment horizontal="left"/>
    </xf>
    <xf numFmtId="0" fontId="5" fillId="0" borderId="26" xfId="0" applyFont="1" applyBorder="1" applyAlignment="1"/>
    <xf numFmtId="0" fontId="3" fillId="4" borderId="20" xfId="2" applyNumberFormat="1" applyFont="1" applyFill="1" applyBorder="1" applyAlignment="1">
      <alignment vertical="center"/>
    </xf>
    <xf numFmtId="0" fontId="3" fillId="0" borderId="20" xfId="0" applyFont="1" applyBorder="1" applyAlignment="1">
      <alignment horizontal="left" vertical="center" wrapText="1"/>
    </xf>
    <xf numFmtId="0" fontId="43" fillId="0" borderId="20" xfId="0" applyFont="1" applyBorder="1"/>
    <xf numFmtId="0" fontId="43" fillId="30" borderId="26" xfId="0" applyFont="1" applyFill="1" applyBorder="1" applyAlignment="1">
      <alignment horizontal="left"/>
    </xf>
    <xf numFmtId="0" fontId="43" fillId="30" borderId="20" xfId="0" applyFont="1" applyFill="1" applyBorder="1" applyAlignment="1">
      <alignment horizontal="left"/>
    </xf>
    <xf numFmtId="0" fontId="3" fillId="30" borderId="26" xfId="0" applyFont="1" applyFill="1" applyBorder="1" applyAlignment="1">
      <alignment vertical="center"/>
    </xf>
    <xf numFmtId="0" fontId="3" fillId="30" borderId="20" xfId="0" applyFont="1" applyFill="1" applyBorder="1" applyAlignment="1">
      <alignment vertical="center"/>
    </xf>
    <xf numFmtId="0" fontId="39" fillId="23" borderId="23" xfId="0" applyFont="1" applyFill="1" applyBorder="1" applyAlignment="1">
      <alignment horizontal="right"/>
    </xf>
    <xf numFmtId="0" fontId="39" fillId="23" borderId="20" xfId="0" applyFont="1" applyFill="1" applyBorder="1" applyAlignment="1">
      <alignment horizontal="right"/>
    </xf>
    <xf numFmtId="0" fontId="3" fillId="25" borderId="20" xfId="0" applyFont="1" applyFill="1" applyBorder="1" applyAlignment="1"/>
    <xf numFmtId="0" fontId="3" fillId="0" borderId="20" xfId="2" applyNumberFormat="1" applyFont="1" applyBorder="1" applyAlignment="1"/>
    <xf numFmtId="0" fontId="11" fillId="4" borderId="20" xfId="2" applyNumberFormat="1" applyFont="1" applyFill="1" applyBorder="1" applyAlignment="1">
      <alignment vertical="center"/>
    </xf>
    <xf numFmtId="0" fontId="3" fillId="2" borderId="26" xfId="0" applyFont="1" applyFill="1" applyBorder="1" applyAlignment="1">
      <alignment vertical="center"/>
    </xf>
    <xf numFmtId="0" fontId="3" fillId="2" borderId="20" xfId="2" applyNumberFormat="1" applyFont="1" applyFill="1" applyBorder="1" applyAlignment="1"/>
    <xf numFmtId="0" fontId="10" fillId="2" borderId="20" xfId="2" applyNumberFormat="1" applyFont="1" applyFill="1" applyBorder="1" applyAlignment="1"/>
    <xf numFmtId="0" fontId="10" fillId="0" borderId="20" xfId="2" applyNumberFormat="1" applyFont="1" applyBorder="1" applyAlignment="1"/>
    <xf numFmtId="0" fontId="11" fillId="4" borderId="20" xfId="2" applyNumberFormat="1" applyFont="1" applyFill="1" applyBorder="1" applyAlignment="1"/>
    <xf numFmtId="0" fontId="10" fillId="0" borderId="20" xfId="0" applyFont="1" applyBorder="1"/>
    <xf numFmtId="0" fontId="43" fillId="0" borderId="6" xfId="0" applyFont="1" applyBorder="1" applyAlignment="1">
      <alignment wrapText="1"/>
    </xf>
    <xf numFmtId="0" fontId="3" fillId="0" borderId="23" xfId="0" applyFont="1" applyBorder="1" applyAlignment="1"/>
    <xf numFmtId="0" fontId="11" fillId="0" borderId="26" xfId="0" applyFont="1" applyBorder="1" applyAlignment="1">
      <alignment vertical="center"/>
    </xf>
    <xf numFmtId="0" fontId="3" fillId="28" borderId="26" xfId="0" applyFont="1" applyFill="1" applyBorder="1" applyAlignment="1">
      <alignment vertical="center"/>
    </xf>
    <xf numFmtId="0" fontId="11" fillId="0" borderId="26" xfId="0" applyFont="1" applyBorder="1" applyAlignment="1"/>
    <xf numFmtId="0" fontId="3" fillId="6" borderId="26" xfId="0" applyFont="1" applyFill="1" applyBorder="1" applyAlignment="1">
      <alignment vertical="center"/>
    </xf>
    <xf numFmtId="0" fontId="11" fillId="6" borderId="26" xfId="0" applyFont="1" applyFill="1" applyBorder="1" applyAlignment="1"/>
    <xf numFmtId="0" fontId="22" fillId="0" borderId="26" xfId="0" applyFont="1" applyBorder="1" applyAlignment="1">
      <alignment vertical="center"/>
    </xf>
    <xf numFmtId="0" fontId="10" fillId="7" borderId="20" xfId="0" applyFont="1" applyFill="1" applyBorder="1" applyAlignment="1"/>
    <xf numFmtId="0" fontId="10" fillId="28" borderId="20" xfId="0" applyFont="1" applyFill="1" applyBorder="1" applyAlignment="1"/>
    <xf numFmtId="0" fontId="11" fillId="0" borderId="23" xfId="0" applyFont="1" applyBorder="1" applyAlignment="1"/>
    <xf numFmtId="0" fontId="0" fillId="0" borderId="26" xfId="0" applyFont="1" applyBorder="1" applyAlignment="1"/>
    <xf numFmtId="0" fontId="22" fillId="2" borderId="20" xfId="0" applyFont="1" applyFill="1" applyBorder="1" applyAlignment="1"/>
    <xf numFmtId="0" fontId="11" fillId="2" borderId="26" xfId="0" applyFont="1" applyFill="1" applyBorder="1" applyAlignment="1"/>
    <xf numFmtId="0" fontId="3" fillId="27" borderId="26" xfId="0" applyFont="1" applyFill="1" applyBorder="1" applyAlignment="1"/>
    <xf numFmtId="0" fontId="12" fillId="27" borderId="20" xfId="0" applyFont="1" applyFill="1" applyBorder="1" applyAlignment="1"/>
    <xf numFmtId="0" fontId="39" fillId="23" borderId="21" xfId="0" applyFont="1" applyFill="1" applyBorder="1" applyAlignment="1">
      <alignment horizontal="right"/>
    </xf>
    <xf numFmtId="0" fontId="39" fillId="0" borderId="25" xfId="0" applyFont="1" applyBorder="1" applyAlignment="1">
      <alignment horizontal="right"/>
    </xf>
    <xf numFmtId="0" fontId="3" fillId="0" borderId="26" xfId="2" applyNumberFormat="1" applyFont="1" applyBorder="1" applyAlignment="1">
      <alignment vertical="center"/>
    </xf>
    <xf numFmtId="0" fontId="12" fillId="4" borderId="26" xfId="2" applyNumberFormat="1" applyFont="1" applyFill="1" applyBorder="1" applyAlignment="1"/>
    <xf numFmtId="0" fontId="3" fillId="25" borderId="26" xfId="0" applyFont="1" applyFill="1" applyBorder="1" applyAlignment="1"/>
    <xf numFmtId="0" fontId="10" fillId="29" borderId="26" xfId="0" applyFont="1" applyFill="1" applyBorder="1" applyAlignment="1"/>
    <xf numFmtId="0" fontId="3" fillId="5" borderId="20" xfId="2" applyNumberFormat="1" applyFont="1" applyFill="1" applyBorder="1" applyAlignment="1"/>
    <xf numFmtId="0" fontId="38" fillId="4" borderId="20" xfId="2" applyNumberFormat="1" applyFont="1" applyFill="1" applyBorder="1" applyAlignment="1"/>
    <xf numFmtId="0" fontId="39" fillId="0" borderId="20" xfId="0" applyFont="1" applyFill="1" applyBorder="1" applyAlignment="1">
      <alignment horizontal="right"/>
    </xf>
    <xf numFmtId="0" fontId="3" fillId="33" borderId="20" xfId="0" applyFont="1" applyFill="1" applyBorder="1" applyAlignment="1">
      <alignment wrapText="1"/>
    </xf>
    <xf numFmtId="0" fontId="3" fillId="33" borderId="20" xfId="0" applyFont="1" applyFill="1" applyBorder="1" applyAlignment="1"/>
    <xf numFmtId="0" fontId="0" fillId="33" borderId="26" xfId="0" applyFont="1" applyFill="1" applyBorder="1"/>
    <xf numFmtId="0" fontId="39" fillId="33" borderId="20" xfId="0" applyFont="1" applyFill="1" applyBorder="1" applyAlignment="1">
      <alignment horizontal="right"/>
    </xf>
    <xf numFmtId="0" fontId="0" fillId="33" borderId="20" xfId="0" applyFont="1" applyFill="1" applyBorder="1" applyAlignment="1">
      <alignment horizontal="right"/>
    </xf>
    <xf numFmtId="0" fontId="0" fillId="33" borderId="23" xfId="0" applyFont="1" applyFill="1" applyBorder="1"/>
    <xf numFmtId="0" fontId="0" fillId="33" borderId="24" xfId="0" applyFont="1" applyFill="1" applyBorder="1"/>
    <xf numFmtId="0" fontId="0" fillId="33" borderId="0" xfId="0" applyFill="1"/>
    <xf numFmtId="0" fontId="43" fillId="33" borderId="20" xfId="0" applyFont="1" applyFill="1" applyBorder="1" applyAlignment="1">
      <alignment wrapText="1"/>
    </xf>
    <xf numFmtId="0" fontId="43" fillId="33" borderId="20" xfId="0" applyFont="1" applyFill="1" applyBorder="1"/>
    <xf numFmtId="0" fontId="43" fillId="33" borderId="26" xfId="0" applyFont="1" applyFill="1" applyBorder="1"/>
    <xf numFmtId="0" fontId="39" fillId="33" borderId="23" xfId="0" applyFont="1" applyFill="1" applyBorder="1" applyAlignment="1">
      <alignment horizontal="right"/>
    </xf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1" xfId="4" applyFont="1" applyBorder="1"/>
    <xf numFmtId="0" fontId="10" fillId="5" borderId="1" xfId="0" applyFont="1" applyFill="1" applyBorder="1" applyAlignment="1"/>
    <xf numFmtId="0" fontId="43" fillId="0" borderId="1" xfId="0" applyFont="1" applyBorder="1" applyAlignment="1">
      <alignment wrapText="1"/>
    </xf>
    <xf numFmtId="0" fontId="61" fillId="0" borderId="20" xfId="0" applyFont="1" applyFill="1" applyBorder="1" applyAlignment="1">
      <alignment wrapText="1"/>
    </xf>
    <xf numFmtId="0" fontId="62" fillId="0" borderId="26" xfId="0" applyFont="1" applyBorder="1"/>
    <xf numFmtId="0" fontId="62" fillId="0" borderId="23" xfId="0" applyFont="1" applyBorder="1"/>
    <xf numFmtId="0" fontId="62" fillId="0" borderId="24" xfId="0" applyFont="1" applyBorder="1"/>
    <xf numFmtId="0" fontId="61" fillId="26" borderId="20" xfId="0" applyFont="1" applyFill="1" applyBorder="1" applyAlignment="1">
      <alignment horizontal="left"/>
    </xf>
    <xf numFmtId="0" fontId="3" fillId="0" borderId="6" xfId="0" applyFont="1" applyBorder="1" applyAlignment="1">
      <alignment wrapText="1"/>
    </xf>
    <xf numFmtId="0" fontId="3" fillId="0" borderId="20" xfId="0" applyFont="1" applyFill="1" applyBorder="1" applyAlignment="1"/>
    <xf numFmtId="0" fontId="3" fillId="0" borderId="22" xfId="0" applyFont="1" applyBorder="1" applyAlignment="1">
      <alignment wrapText="1"/>
    </xf>
    <xf numFmtId="0" fontId="61" fillId="0" borderId="20" xfId="0" applyNumberFormat="1" applyFont="1" applyFill="1" applyBorder="1" applyAlignment="1">
      <alignment wrapText="1"/>
    </xf>
    <xf numFmtId="0" fontId="3" fillId="0" borderId="30" xfId="0" applyFont="1" applyBorder="1" applyAlignment="1">
      <alignment vertical="center"/>
    </xf>
    <xf numFmtId="0" fontId="3" fillId="6" borderId="23" xfId="0" applyFont="1" applyFill="1" applyBorder="1" applyAlignment="1"/>
    <xf numFmtId="0" fontId="3" fillId="2" borderId="6" xfId="0" applyFont="1" applyFill="1" applyBorder="1" applyAlignment="1">
      <alignment vertical="center"/>
    </xf>
    <xf numFmtId="0" fontId="61" fillId="26" borderId="26" xfId="0" applyFont="1" applyFill="1" applyBorder="1" applyAlignment="1">
      <alignment horizontal="left"/>
    </xf>
    <xf numFmtId="0" fontId="38" fillId="0" borderId="29" xfId="0" applyFont="1" applyBorder="1" applyAlignment="1"/>
    <xf numFmtId="0" fontId="3" fillId="4" borderId="13" xfId="2" applyNumberFormat="1" applyFont="1" applyFill="1" applyBorder="1" applyAlignment="1"/>
    <xf numFmtId="0" fontId="43" fillId="25" borderId="13" xfId="0" applyFont="1" applyFill="1" applyBorder="1" applyAlignment="1">
      <alignment horizontal="left"/>
    </xf>
    <xf numFmtId="0" fontId="38" fillId="0" borderId="6" xfId="0" applyFont="1" applyBorder="1" applyAlignment="1"/>
    <xf numFmtId="0" fontId="39" fillId="23" borderId="25" xfId="0" applyFont="1" applyFill="1" applyBorder="1" applyAlignment="1">
      <alignment horizontal="right"/>
    </xf>
    <xf numFmtId="0" fontId="10" fillId="0" borderId="23" xfId="2" applyFont="1" applyFill="1" applyBorder="1" applyAlignment="1">
      <alignment horizontal="left"/>
    </xf>
    <xf numFmtId="0" fontId="43" fillId="26" borderId="20" xfId="0" applyFont="1" applyFill="1" applyBorder="1"/>
    <xf numFmtId="0" fontId="10" fillId="23" borderId="3" xfId="2" applyFont="1" applyFill="1" applyBorder="1" applyAlignment="1">
      <alignment horizontal="center"/>
    </xf>
    <xf numFmtId="0" fontId="3" fillId="23" borderId="3" xfId="0" applyFont="1" applyFill="1" applyBorder="1" applyAlignment="1">
      <alignment horizontal="center"/>
    </xf>
    <xf numFmtId="0" fontId="15" fillId="3" borderId="3" xfId="0" applyFont="1" applyFill="1" applyBorder="1"/>
    <xf numFmtId="0" fontId="15" fillId="3" borderId="3" xfId="0" applyFont="1" applyFill="1" applyBorder="1" applyAlignment="1">
      <alignment horizontal="center"/>
    </xf>
    <xf numFmtId="17" fontId="15" fillId="3" borderId="3" xfId="0" applyNumberFormat="1" applyFont="1" applyFill="1" applyBorder="1" applyAlignment="1">
      <alignment horizontal="center"/>
    </xf>
    <xf numFmtId="0" fontId="15" fillId="22" borderId="1" xfId="0" applyFont="1" applyFill="1" applyBorder="1" applyAlignment="1"/>
    <xf numFmtId="0" fontId="3" fillId="2" borderId="1" xfId="2" applyNumberFormat="1" applyFont="1" applyFill="1" applyBorder="1" applyAlignment="1"/>
    <xf numFmtId="0" fontId="10" fillId="2" borderId="1" xfId="2" applyNumberFormat="1" applyFont="1" applyFill="1" applyBorder="1" applyAlignment="1"/>
    <xf numFmtId="0" fontId="43" fillId="0" borderId="22" xfId="0" applyFont="1" applyBorder="1"/>
    <xf numFmtId="0" fontId="43" fillId="0" borderId="31" xfId="0" applyFont="1" applyBorder="1"/>
    <xf numFmtId="0" fontId="3" fillId="0" borderId="1" xfId="0" applyNumberFormat="1" applyFont="1" applyBorder="1" applyAlignment="1">
      <alignment horizontal="left" vertical="center" wrapText="1"/>
    </xf>
    <xf numFmtId="0" fontId="10" fillId="2" borderId="19" xfId="2" applyNumberFormat="1" applyFont="1" applyFill="1" applyBorder="1" applyAlignment="1"/>
    <xf numFmtId="0" fontId="43" fillId="0" borderId="3" xfId="0" applyFont="1" applyBorder="1"/>
    <xf numFmtId="0" fontId="43" fillId="0" borderId="1" xfId="0" applyFont="1" applyBorder="1" applyAlignment="1"/>
    <xf numFmtId="0" fontId="3" fillId="0" borderId="1" xfId="0" applyFont="1" applyBorder="1" applyAlignment="1">
      <alignment wrapText="1"/>
    </xf>
    <xf numFmtId="0" fontId="3" fillId="0" borderId="1" xfId="0" applyFont="1" applyBorder="1" applyAlignment="1"/>
    <xf numFmtId="0" fontId="3" fillId="0" borderId="1" xfId="0" applyFont="1" applyBorder="1"/>
    <xf numFmtId="0" fontId="10" fillId="0" borderId="1" xfId="2" applyNumberFormat="1" applyFont="1" applyBorder="1" applyAlignment="1"/>
    <xf numFmtId="0" fontId="10" fillId="2" borderId="22" xfId="2" applyNumberFormat="1" applyFont="1" applyFill="1" applyBorder="1" applyAlignment="1"/>
    <xf numFmtId="0" fontId="3" fillId="0" borderId="1" xfId="0" applyNumberFormat="1" applyFont="1" applyBorder="1" applyAlignment="1">
      <alignment horizontal="left" vertical="center"/>
    </xf>
    <xf numFmtId="0" fontId="3" fillId="0" borderId="1" xfId="2" applyNumberFormat="1" applyFont="1" applyBorder="1" applyAlignment="1"/>
    <xf numFmtId="0" fontId="10" fillId="0" borderId="1" xfId="0" applyFont="1" applyBorder="1"/>
    <xf numFmtId="0" fontId="43" fillId="0" borderId="32" xfId="0" applyFont="1" applyBorder="1"/>
    <xf numFmtId="0" fontId="44" fillId="0" borderId="1" xfId="0" applyFont="1" applyBorder="1"/>
    <xf numFmtId="0" fontId="10" fillId="3" borderId="8" xfId="0" applyFont="1" applyFill="1" applyBorder="1" applyAlignment="1">
      <alignment horizontal="left"/>
    </xf>
    <xf numFmtId="0" fontId="51" fillId="31" borderId="0" xfId="0" applyFont="1" applyFill="1" applyBorder="1" applyAlignment="1"/>
    <xf numFmtId="0" fontId="7" fillId="3" borderId="0" xfId="1" applyFont="1" applyFill="1" applyBorder="1" applyAlignment="1" applyProtection="1">
      <alignment vertical="center"/>
    </xf>
    <xf numFmtId="0" fontId="7" fillId="2" borderId="0" xfId="0" applyFont="1" applyFill="1" applyBorder="1" applyAlignment="1">
      <alignment horizontal="center"/>
    </xf>
    <xf numFmtId="10" fontId="7" fillId="2" borderId="0" xfId="0" applyNumberFormat="1" applyFont="1" applyFill="1" applyBorder="1"/>
    <xf numFmtId="10" fontId="7" fillId="10" borderId="0" xfId="0" applyNumberFormat="1" applyFont="1" applyFill="1" applyBorder="1"/>
    <xf numFmtId="0" fontId="43" fillId="0" borderId="0" xfId="0" applyFont="1" applyFill="1" applyBorder="1" applyAlignment="1">
      <alignment horizontal="center"/>
    </xf>
    <xf numFmtId="0" fontId="0" fillId="0" borderId="1" xfId="0" applyFont="1" applyBorder="1" applyAlignment="1">
      <alignment vertical="top" wrapText="1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/>
    <xf numFmtId="0" fontId="0" fillId="0" borderId="4" xfId="0" applyFont="1" applyBorder="1" applyAlignment="1"/>
    <xf numFmtId="0" fontId="0" fillId="0" borderId="4" xfId="0" applyFont="1" applyBorder="1" applyAlignment="1">
      <alignment vertical="top" wrapText="1"/>
    </xf>
    <xf numFmtId="0" fontId="0" fillId="0" borderId="4" xfId="0" applyFont="1" applyBorder="1" applyAlignment="1">
      <alignment horizontal="left" vertical="top" wrapText="1"/>
    </xf>
    <xf numFmtId="0" fontId="10" fillId="20" borderId="7" xfId="0" applyFont="1" applyFill="1" applyBorder="1" applyAlignment="1">
      <alignment horizontal="right"/>
    </xf>
    <xf numFmtId="0" fontId="3" fillId="0" borderId="1" xfId="0" applyNumberFormat="1" applyFont="1" applyFill="1" applyBorder="1" applyAlignment="1">
      <alignment horizontal="left" vertical="top" wrapText="1"/>
    </xf>
    <xf numFmtId="0" fontId="3" fillId="0" borderId="0" xfId="0" applyNumberFormat="1" applyFont="1" applyFill="1" applyBorder="1" applyAlignment="1">
      <alignment horizontal="left" vertical="top" wrapText="1"/>
    </xf>
    <xf numFmtId="0" fontId="43" fillId="0" borderId="0" xfId="0" applyFont="1" applyBorder="1" applyAlignment="1">
      <alignment horizontal="center"/>
    </xf>
    <xf numFmtId="0" fontId="43" fillId="0" borderId="7" xfId="0" applyFont="1" applyBorder="1" applyAlignment="1">
      <alignment horizontal="center"/>
    </xf>
    <xf numFmtId="0" fontId="3" fillId="0" borderId="35" xfId="0" applyNumberFormat="1" applyFont="1" applyFill="1" applyBorder="1" applyAlignment="1">
      <alignment horizontal="left" vertical="top" wrapText="1"/>
    </xf>
    <xf numFmtId="0" fontId="67" fillId="0" borderId="0" xfId="0" applyFont="1" applyFill="1" applyBorder="1" applyAlignment="1">
      <alignment wrapText="1"/>
    </xf>
    <xf numFmtId="0" fontId="69" fillId="0" borderId="0" xfId="0" applyFont="1"/>
    <xf numFmtId="0" fontId="69" fillId="0" borderId="0" xfId="0" applyFont="1" applyFill="1" applyBorder="1"/>
    <xf numFmtId="0" fontId="69" fillId="0" borderId="0" xfId="0" applyFont="1" applyFill="1"/>
    <xf numFmtId="0" fontId="43" fillId="0" borderId="0" xfId="0" applyFont="1" applyFill="1" applyBorder="1"/>
    <xf numFmtId="0" fontId="43" fillId="0" borderId="0" xfId="0" applyFont="1" applyFill="1"/>
    <xf numFmtId="0" fontId="43" fillId="0" borderId="0" xfId="0" applyFont="1" applyBorder="1"/>
    <xf numFmtId="0" fontId="43" fillId="0" borderId="2" xfId="0" applyFont="1" applyBorder="1"/>
    <xf numFmtId="0" fontId="43" fillId="0" borderId="0" xfId="0" applyFont="1"/>
    <xf numFmtId="0" fontId="15" fillId="22" borderId="1" xfId="0" applyFont="1" applyFill="1" applyBorder="1" applyAlignment="1">
      <alignment horizontal="left" wrapText="1"/>
    </xf>
    <xf numFmtId="0" fontId="15" fillId="22" borderId="6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9" fillId="24" borderId="0" xfId="0" applyFont="1" applyFill="1" applyBorder="1" applyAlignment="1"/>
    <xf numFmtId="0" fontId="37" fillId="24" borderId="0" xfId="0" applyFont="1" applyFill="1" applyBorder="1"/>
    <xf numFmtId="0" fontId="37" fillId="24" borderId="0" xfId="0" applyFont="1" applyFill="1" applyBorder="1" applyAlignment="1">
      <alignment horizontal="center"/>
    </xf>
    <xf numFmtId="0" fontId="15" fillId="24" borderId="0" xfId="0" applyFont="1" applyFill="1" applyBorder="1" applyAlignment="1">
      <alignment horizontal="left" wrapText="1"/>
    </xf>
    <xf numFmtId="0" fontId="15" fillId="24" borderId="0" xfId="0" applyFont="1" applyFill="1" applyBorder="1" applyAlignment="1"/>
    <xf numFmtId="0" fontId="68" fillId="22" borderId="20" xfId="0" applyFont="1" applyFill="1" applyBorder="1" applyAlignment="1"/>
    <xf numFmtId="0" fontId="68" fillId="3" borderId="3" xfId="0" applyFont="1" applyFill="1" applyBorder="1" applyAlignment="1">
      <alignment horizontal="center"/>
    </xf>
    <xf numFmtId="0" fontId="68" fillId="0" borderId="0" xfId="0" applyFont="1"/>
    <xf numFmtId="0" fontId="5" fillId="0" borderId="0" xfId="0" applyFont="1" applyBorder="1" applyAlignment="1">
      <alignment horizontal="center"/>
    </xf>
    <xf numFmtId="0" fontId="5" fillId="0" borderId="0" xfId="0" applyFont="1" applyFill="1" applyBorder="1" applyAlignment="1"/>
    <xf numFmtId="0" fontId="5" fillId="0" borderId="0" xfId="0" applyFont="1" applyFill="1" applyBorder="1" applyAlignment="1">
      <alignment horizontal="center"/>
    </xf>
    <xf numFmtId="0" fontId="3" fillId="0" borderId="0" xfId="0" applyNumberFormat="1" applyFont="1" applyBorder="1"/>
    <xf numFmtId="0" fontId="3" fillId="0" borderId="0" xfId="0" applyNumberFormat="1" applyFont="1" applyFill="1" applyBorder="1"/>
    <xf numFmtId="0" fontId="43" fillId="0" borderId="0" xfId="0" applyFont="1" applyAlignment="1">
      <alignment horizontal="center"/>
    </xf>
    <xf numFmtId="0" fontId="43" fillId="20" borderId="1" xfId="0" applyFont="1" applyFill="1" applyBorder="1" applyAlignment="1"/>
    <xf numFmtId="0" fontId="43" fillId="2" borderId="1" xfId="0" applyFont="1" applyFill="1" applyBorder="1" applyAlignment="1"/>
    <xf numFmtId="0" fontId="43" fillId="20" borderId="1" xfId="0" applyFont="1" applyFill="1" applyBorder="1"/>
    <xf numFmtId="0" fontId="43" fillId="2" borderId="1" xfId="0" applyFont="1" applyFill="1" applyBorder="1"/>
    <xf numFmtId="1" fontId="5" fillId="0" borderId="1" xfId="0" applyNumberFormat="1" applyFont="1" applyFill="1" applyBorder="1" applyAlignment="1">
      <alignment horizontal="right"/>
    </xf>
    <xf numFmtId="0" fontId="43" fillId="9" borderId="1" xfId="0" applyFont="1" applyFill="1" applyBorder="1"/>
    <xf numFmtId="0" fontId="43" fillId="2" borderId="7" xfId="0" applyFont="1" applyFill="1" applyBorder="1" applyAlignment="1"/>
    <xf numFmtId="0" fontId="43" fillId="2" borderId="0" xfId="0" applyFont="1" applyFill="1" applyBorder="1"/>
    <xf numFmtId="1" fontId="5" fillId="0" borderId="0" xfId="0" applyNumberFormat="1" applyFont="1" applyFill="1" applyBorder="1" applyAlignment="1">
      <alignment horizontal="right"/>
    </xf>
    <xf numFmtId="1" fontId="5" fillId="0" borderId="0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/>
    </xf>
    <xf numFmtId="0" fontId="70" fillId="0" borderId="1" xfId="0" applyFont="1" applyBorder="1" applyAlignment="1">
      <alignment horizontal="center"/>
    </xf>
    <xf numFmtId="0" fontId="3" fillId="0" borderId="1" xfId="12" applyFont="1" applyBorder="1" applyAlignment="1">
      <alignment horizontal="center" vertical="top"/>
    </xf>
    <xf numFmtId="0" fontId="3" fillId="0" borderId="3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43" fillId="0" borderId="1" xfId="0" applyFont="1" applyFill="1" applyBorder="1" applyAlignment="1">
      <alignment horizontal="center"/>
    </xf>
    <xf numFmtId="0" fontId="70" fillId="0" borderId="1" xfId="0" applyFont="1" applyFill="1" applyBorder="1" applyAlignment="1">
      <alignment horizontal="center"/>
    </xf>
    <xf numFmtId="0" fontId="29" fillId="24" borderId="0" xfId="0" applyFont="1" applyFill="1" applyBorder="1" applyAlignment="1">
      <alignment horizontal="center"/>
    </xf>
    <xf numFmtId="0" fontId="43" fillId="0" borderId="20" xfId="0" applyFont="1" applyBorder="1" applyAlignment="1">
      <alignment horizontal="center"/>
    </xf>
    <xf numFmtId="0" fontId="43" fillId="0" borderId="6" xfId="0" applyFont="1" applyBorder="1" applyAlignment="1">
      <alignment horizontal="center"/>
    </xf>
    <xf numFmtId="0" fontId="43" fillId="0" borderId="6" xfId="0" applyFont="1" applyFill="1" applyBorder="1" applyAlignment="1">
      <alignment horizontal="center"/>
    </xf>
    <xf numFmtId="0" fontId="43" fillId="0" borderId="13" xfId="0" applyFont="1" applyBorder="1" applyAlignment="1">
      <alignment horizontal="center"/>
    </xf>
    <xf numFmtId="0" fontId="43" fillId="0" borderId="8" xfId="0" applyFont="1" applyBorder="1" applyAlignment="1">
      <alignment horizontal="center"/>
    </xf>
    <xf numFmtId="0" fontId="43" fillId="0" borderId="13" xfId="0" applyFont="1" applyFill="1" applyBorder="1" applyAlignment="1">
      <alignment horizontal="center"/>
    </xf>
    <xf numFmtId="0" fontId="43" fillId="0" borderId="20" xfId="0" applyFont="1" applyFill="1" applyBorder="1" applyAlignment="1">
      <alignment horizontal="center"/>
    </xf>
    <xf numFmtId="0" fontId="43" fillId="0" borderId="8" xfId="0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/>
    </xf>
    <xf numFmtId="0" fontId="43" fillId="0" borderId="7" xfId="0" applyFont="1" applyFill="1" applyBorder="1" applyAlignment="1">
      <alignment horizontal="center"/>
    </xf>
    <xf numFmtId="0" fontId="3" fillId="26" borderId="1" xfId="0" applyFont="1" applyFill="1" applyBorder="1" applyAlignment="1">
      <alignment horizontal="center"/>
    </xf>
    <xf numFmtId="0" fontId="7" fillId="24" borderId="0" xfId="0" applyFont="1" applyFill="1" applyBorder="1" applyAlignment="1">
      <alignment horizontal="left"/>
    </xf>
    <xf numFmtId="14" fontId="73" fillId="24" borderId="0" xfId="0" applyNumberFormat="1" applyFont="1" applyFill="1" applyBorder="1" applyAlignment="1"/>
    <xf numFmtId="14" fontId="74" fillId="24" borderId="0" xfId="0" applyNumberFormat="1" applyFont="1" applyFill="1" applyBorder="1"/>
    <xf numFmtId="0" fontId="10" fillId="0" borderId="8" xfId="0" applyFont="1" applyFill="1" applyBorder="1" applyAlignment="1">
      <alignment horizontal="center"/>
    </xf>
    <xf numFmtId="0" fontId="70" fillId="0" borderId="13" xfId="0" applyFont="1" applyBorder="1" applyAlignment="1">
      <alignment horizontal="center"/>
    </xf>
    <xf numFmtId="0" fontId="43" fillId="0" borderId="1" xfId="0" applyNumberFormat="1" applyFont="1" applyFill="1" applyBorder="1" applyAlignment="1">
      <alignment vertical="top" wrapText="1"/>
    </xf>
    <xf numFmtId="0" fontId="3" fillId="0" borderId="1" xfId="0" applyNumberFormat="1" applyFont="1" applyFill="1" applyBorder="1" applyAlignment="1">
      <alignment vertical="top" wrapText="1"/>
    </xf>
    <xf numFmtId="0" fontId="3" fillId="0" borderId="35" xfId="0" applyNumberFormat="1" applyFont="1" applyFill="1" applyBorder="1" applyAlignment="1">
      <alignment vertical="top" wrapText="1"/>
    </xf>
    <xf numFmtId="0" fontId="43" fillId="0" borderId="35" xfId="0" applyNumberFormat="1" applyFont="1" applyFill="1" applyBorder="1" applyAlignment="1">
      <alignment vertical="top" wrapText="1"/>
    </xf>
    <xf numFmtId="0" fontId="65" fillId="0" borderId="1" xfId="0" applyNumberFormat="1" applyFont="1" applyFill="1" applyBorder="1" applyAlignment="1">
      <alignment vertical="top"/>
    </xf>
    <xf numFmtId="0" fontId="43" fillId="0" borderId="1" xfId="0" applyNumberFormat="1" applyFont="1" applyFill="1" applyBorder="1"/>
    <xf numFmtId="0" fontId="11" fillId="0" borderId="1" xfId="0" applyNumberFormat="1" applyFont="1" applyFill="1" applyBorder="1" applyAlignment="1">
      <alignment vertical="top" wrapText="1"/>
    </xf>
    <xf numFmtId="0" fontId="72" fillId="0" borderId="1" xfId="0" applyNumberFormat="1" applyFont="1" applyFill="1" applyBorder="1"/>
    <xf numFmtId="0" fontId="43" fillId="0" borderId="0" xfId="0" applyNumberFormat="1" applyFont="1" applyFill="1" applyBorder="1" applyAlignment="1">
      <alignment vertical="top" wrapText="1"/>
    </xf>
    <xf numFmtId="0" fontId="43" fillId="0" borderId="35" xfId="0" applyNumberFormat="1" applyFont="1" applyFill="1" applyBorder="1"/>
    <xf numFmtId="0" fontId="43" fillId="0" borderId="0" xfId="0" applyNumberFormat="1" applyFont="1" applyFill="1" applyBorder="1"/>
    <xf numFmtId="0" fontId="66" fillId="0" borderId="1" xfId="2" applyNumberFormat="1" applyFont="1" applyFill="1" applyBorder="1" applyAlignment="1">
      <alignment vertical="top" wrapText="1"/>
    </xf>
    <xf numFmtId="0" fontId="10" fillId="0" borderId="35" xfId="0" applyNumberFormat="1" applyFont="1" applyFill="1" applyBorder="1" applyAlignment="1">
      <alignment vertical="top" wrapText="1"/>
    </xf>
    <xf numFmtId="0" fontId="43" fillId="0" borderId="1" xfId="0" applyNumberFormat="1" applyFont="1" applyBorder="1" applyAlignment="1">
      <alignment vertical="top" wrapText="1"/>
    </xf>
    <xf numFmtId="0" fontId="10" fillId="0" borderId="1" xfId="0" applyNumberFormat="1" applyFont="1" applyFill="1" applyBorder="1" applyAlignment="1">
      <alignment vertical="top" wrapText="1"/>
    </xf>
    <xf numFmtId="0" fontId="43" fillId="0" borderId="1" xfId="0" applyNumberFormat="1" applyFont="1" applyFill="1" applyBorder="1" applyAlignment="1">
      <alignment vertical="top"/>
    </xf>
    <xf numFmtId="0" fontId="10" fillId="0" borderId="1" xfId="2" applyNumberFormat="1" applyFont="1" applyFill="1" applyBorder="1" applyAlignment="1">
      <alignment vertical="top" wrapText="1"/>
    </xf>
    <xf numFmtId="0" fontId="22" fillId="0" borderId="1" xfId="0" applyNumberFormat="1" applyFont="1" applyFill="1" applyBorder="1" applyAlignment="1">
      <alignment vertical="top" wrapText="1"/>
    </xf>
    <xf numFmtId="0" fontId="0" fillId="0" borderId="1" xfId="0" applyNumberFormat="1" applyBorder="1" applyAlignment="1">
      <alignment vertical="top"/>
    </xf>
    <xf numFmtId="0" fontId="3" fillId="0" borderId="1" xfId="8" applyNumberFormat="1" applyFont="1" applyFill="1" applyBorder="1" applyAlignment="1">
      <alignment vertical="top" wrapText="1"/>
    </xf>
    <xf numFmtId="0" fontId="3" fillId="0" borderId="1" xfId="0" applyNumberFormat="1" applyFont="1" applyBorder="1" applyAlignment="1">
      <alignment vertical="top"/>
    </xf>
    <xf numFmtId="0" fontId="70" fillId="0" borderId="1" xfId="0" applyNumberFormat="1" applyFont="1" applyFill="1" applyBorder="1" applyAlignment="1">
      <alignment vertical="top" wrapText="1"/>
    </xf>
    <xf numFmtId="0" fontId="61" fillId="0" borderId="1" xfId="0" applyNumberFormat="1" applyFont="1" applyFill="1" applyBorder="1" applyAlignment="1">
      <alignment vertical="top" wrapText="1"/>
    </xf>
    <xf numFmtId="0" fontId="43" fillId="0" borderId="36" xfId="0" applyNumberFormat="1" applyFont="1" applyFill="1" applyBorder="1" applyAlignment="1">
      <alignment vertical="top" wrapText="1"/>
    </xf>
    <xf numFmtId="0" fontId="3" fillId="0" borderId="36" xfId="0" applyNumberFormat="1" applyFont="1" applyFill="1" applyBorder="1" applyAlignment="1">
      <alignment vertical="top" wrapText="1"/>
    </xf>
    <xf numFmtId="0" fontId="3" fillId="0" borderId="0" xfId="0" applyNumberFormat="1" applyFont="1" applyFill="1" applyBorder="1" applyAlignment="1">
      <alignment vertical="top" wrapText="1"/>
    </xf>
    <xf numFmtId="0" fontId="43" fillId="0" borderId="3" xfId="0" applyNumberFormat="1" applyFont="1" applyFill="1" applyBorder="1" applyAlignment="1">
      <alignment vertical="top" wrapText="1"/>
    </xf>
    <xf numFmtId="0" fontId="71" fillId="0" borderId="1" xfId="0" applyNumberFormat="1" applyFont="1" applyFill="1" applyBorder="1" applyAlignment="1">
      <alignment vertical="top" wrapText="1"/>
    </xf>
    <xf numFmtId="0" fontId="43" fillId="0" borderId="35" xfId="0" applyNumberFormat="1" applyFont="1" applyBorder="1" applyAlignment="1">
      <alignment vertical="top"/>
    </xf>
    <xf numFmtId="0" fontId="2" fillId="0" borderId="1" xfId="0" applyNumberFormat="1" applyFont="1" applyBorder="1" applyAlignment="1">
      <alignment horizontal="left" vertical="top" wrapText="1"/>
    </xf>
    <xf numFmtId="0" fontId="43" fillId="0" borderId="1" xfId="0" applyNumberFormat="1" applyFont="1" applyFill="1" applyBorder="1" applyAlignment="1">
      <alignment wrapText="1"/>
    </xf>
    <xf numFmtId="0" fontId="12" fillId="0" borderId="1" xfId="0" applyNumberFormat="1" applyFont="1" applyFill="1" applyBorder="1" applyAlignment="1">
      <alignment vertical="top" wrapText="1"/>
    </xf>
    <xf numFmtId="0" fontId="3" fillId="0" borderId="1" xfId="2" applyNumberFormat="1" applyFont="1" applyBorder="1" applyAlignment="1">
      <alignment horizontal="left" vertical="top" wrapText="1"/>
    </xf>
    <xf numFmtId="0" fontId="43" fillId="0" borderId="7" xfId="0" applyNumberFormat="1" applyFont="1" applyFill="1" applyBorder="1" applyAlignment="1">
      <alignment vertical="top" wrapText="1"/>
    </xf>
    <xf numFmtId="0" fontId="43" fillId="0" borderId="2" xfId="0" applyNumberFormat="1" applyFont="1" applyFill="1" applyBorder="1" applyAlignment="1">
      <alignment vertical="top" wrapText="1"/>
    </xf>
    <xf numFmtId="0" fontId="3" fillId="0" borderId="34" xfId="0" applyNumberFormat="1" applyFont="1" applyFill="1" applyBorder="1" applyAlignment="1">
      <alignment vertical="top" wrapText="1"/>
    </xf>
    <xf numFmtId="0" fontId="43" fillId="0" borderId="3" xfId="0" applyNumberFormat="1" applyFont="1" applyFill="1" applyBorder="1"/>
    <xf numFmtId="0" fontId="65" fillId="0" borderId="35" xfId="0" applyNumberFormat="1" applyFont="1" applyFill="1" applyBorder="1" applyAlignment="1">
      <alignment vertical="top"/>
    </xf>
    <xf numFmtId="0" fontId="3" fillId="0" borderId="13" xfId="0" applyNumberFormat="1" applyFont="1" applyFill="1" applyBorder="1" applyAlignment="1">
      <alignment vertical="top" wrapText="1"/>
    </xf>
    <xf numFmtId="0" fontId="3" fillId="0" borderId="7" xfId="0" applyNumberFormat="1" applyFont="1" applyFill="1" applyBorder="1" applyAlignment="1">
      <alignment vertical="top" wrapText="1"/>
    </xf>
    <xf numFmtId="0" fontId="56" fillId="31" borderId="15" xfId="0" applyFont="1" applyFill="1" applyBorder="1" applyAlignment="1">
      <alignment horizontal="center" vertical="center"/>
    </xf>
    <xf numFmtId="0" fontId="57" fillId="31" borderId="15" xfId="0" applyFont="1" applyFill="1" applyBorder="1" applyAlignment="1"/>
    <xf numFmtId="0" fontId="7" fillId="3" borderId="1" xfId="1" applyFont="1" applyFill="1" applyBorder="1" applyAlignment="1" applyProtection="1">
      <alignment vertical="center"/>
    </xf>
    <xf numFmtId="0" fontId="49" fillId="31" borderId="15" xfId="0" applyFont="1" applyFill="1" applyBorder="1" applyAlignment="1">
      <alignment horizontal="center" vertical="center"/>
    </xf>
    <xf numFmtId="0" fontId="41" fillId="31" borderId="15" xfId="0" applyFont="1" applyFill="1" applyBorder="1" applyAlignment="1"/>
    <xf numFmtId="0" fontId="7" fillId="3" borderId="6" xfId="1" applyFont="1" applyFill="1" applyBorder="1" applyAlignment="1" applyProtection="1">
      <alignment vertical="center"/>
    </xf>
    <xf numFmtId="0" fontId="7" fillId="3" borderId="4" xfId="1" applyFont="1" applyFill="1" applyBorder="1" applyAlignment="1" applyProtection="1">
      <alignment vertical="center"/>
    </xf>
    <xf numFmtId="0" fontId="7" fillId="3" borderId="5" xfId="1" applyFont="1" applyFill="1" applyBorder="1" applyAlignment="1" applyProtection="1">
      <alignment vertical="center"/>
    </xf>
    <xf numFmtId="0" fontId="52" fillId="31" borderId="15" xfId="0" applyFont="1" applyFill="1" applyBorder="1" applyAlignment="1">
      <alignment horizontal="center" vertical="center"/>
    </xf>
    <xf numFmtId="0" fontId="55" fillId="31" borderId="15" xfId="0" applyFont="1" applyFill="1" applyBorder="1" applyAlignment="1"/>
    <xf numFmtId="0" fontId="53" fillId="31" borderId="15" xfId="0" applyFont="1" applyFill="1" applyBorder="1" applyAlignment="1">
      <alignment horizontal="center" vertical="center"/>
    </xf>
    <xf numFmtId="0" fontId="54" fillId="31" borderId="15" xfId="0" applyFont="1" applyFill="1" applyBorder="1" applyAlignment="1"/>
    <xf numFmtId="0" fontId="46" fillId="31" borderId="15" xfId="0" applyFont="1" applyFill="1" applyBorder="1" applyAlignment="1">
      <alignment horizontal="center" vertical="center"/>
    </xf>
    <xf numFmtId="0" fontId="47" fillId="31" borderId="15" xfId="0" applyFont="1" applyFill="1" applyBorder="1" applyAlignment="1">
      <alignment horizontal="center" vertical="center"/>
    </xf>
    <xf numFmtId="0" fontId="48" fillId="31" borderId="15" xfId="0" applyFont="1" applyFill="1" applyBorder="1" applyAlignment="1"/>
    <xf numFmtId="0" fontId="56" fillId="31" borderId="16" xfId="0" applyFont="1" applyFill="1" applyBorder="1" applyAlignment="1">
      <alignment horizontal="center" vertical="center" wrapText="1"/>
    </xf>
    <xf numFmtId="0" fontId="56" fillId="31" borderId="17" xfId="0" applyFont="1" applyFill="1" applyBorder="1" applyAlignment="1">
      <alignment horizontal="center" vertical="center" wrapText="1"/>
    </xf>
    <xf numFmtId="0" fontId="56" fillId="31" borderId="18" xfId="0" applyFont="1" applyFill="1" applyBorder="1" applyAlignment="1">
      <alignment horizontal="center" vertical="center" wrapText="1"/>
    </xf>
    <xf numFmtId="0" fontId="49" fillId="31" borderId="16" xfId="0" applyFont="1" applyFill="1" applyBorder="1" applyAlignment="1">
      <alignment horizontal="center" vertical="center" wrapText="1"/>
    </xf>
    <xf numFmtId="0" fontId="49" fillId="31" borderId="17" xfId="0" applyFont="1" applyFill="1" applyBorder="1" applyAlignment="1">
      <alignment horizontal="center" vertical="center" wrapText="1"/>
    </xf>
    <xf numFmtId="0" fontId="49" fillId="31" borderId="18" xfId="0" applyFont="1" applyFill="1" applyBorder="1" applyAlignment="1">
      <alignment horizontal="center" vertical="center" wrapText="1"/>
    </xf>
    <xf numFmtId="0" fontId="52" fillId="31" borderId="16" xfId="0" applyFont="1" applyFill="1" applyBorder="1" applyAlignment="1">
      <alignment horizontal="center" vertical="center" wrapText="1"/>
    </xf>
    <xf numFmtId="0" fontId="52" fillId="31" borderId="17" xfId="0" applyFont="1" applyFill="1" applyBorder="1" applyAlignment="1">
      <alignment horizontal="center" vertical="center" wrapText="1"/>
    </xf>
    <xf numFmtId="0" fontId="52" fillId="31" borderId="18" xfId="0" applyFont="1" applyFill="1" applyBorder="1" applyAlignment="1">
      <alignment horizontal="center" vertical="center" wrapText="1"/>
    </xf>
    <xf numFmtId="0" fontId="46" fillId="31" borderId="16" xfId="0" applyFont="1" applyFill="1" applyBorder="1" applyAlignment="1">
      <alignment horizontal="center" vertical="center" wrapText="1"/>
    </xf>
    <xf numFmtId="0" fontId="46" fillId="31" borderId="17" xfId="0" applyFont="1" applyFill="1" applyBorder="1" applyAlignment="1">
      <alignment horizontal="center" vertical="center" wrapText="1"/>
    </xf>
    <xf numFmtId="0" fontId="46" fillId="31" borderId="18" xfId="0" applyFont="1" applyFill="1" applyBorder="1" applyAlignment="1">
      <alignment horizontal="center" vertical="center" wrapText="1"/>
    </xf>
    <xf numFmtId="0" fontId="50" fillId="31" borderId="15" xfId="0" applyFont="1" applyFill="1" applyBorder="1" applyAlignment="1">
      <alignment horizontal="center" vertical="center"/>
    </xf>
    <xf numFmtId="0" fontId="51" fillId="31" borderId="15" xfId="0" applyFont="1" applyFill="1" applyBorder="1" applyAlignment="1"/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17" fontId="68" fillId="3" borderId="20" xfId="0" applyNumberFormat="1" applyFont="1" applyFill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15" fillId="22" borderId="1" xfId="0" applyFont="1" applyFill="1" applyBorder="1" applyAlignment="1">
      <alignment horizontal="center"/>
    </xf>
    <xf numFmtId="0" fontId="35" fillId="0" borderId="6" xfId="0" applyFont="1" applyBorder="1" applyAlignment="1">
      <alignment horizontal="center"/>
    </xf>
    <xf numFmtId="0" fontId="35" fillId="0" borderId="4" xfId="0" applyFont="1" applyBorder="1" applyAlignment="1">
      <alignment horizontal="center"/>
    </xf>
    <xf numFmtId="0" fontId="35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36" fillId="0" borderId="6" xfId="0" applyFont="1" applyBorder="1" applyAlignment="1">
      <alignment horizontal="center"/>
    </xf>
    <xf numFmtId="0" fontId="36" fillId="0" borderId="4" xfId="0" applyFont="1" applyBorder="1" applyAlignment="1">
      <alignment horizontal="center"/>
    </xf>
    <xf numFmtId="0" fontId="36" fillId="0" borderId="5" xfId="0" applyFont="1" applyBorder="1" applyAlignment="1">
      <alignment horizontal="center"/>
    </xf>
    <xf numFmtId="0" fontId="15" fillId="22" borderId="6" xfId="0" applyFont="1" applyFill="1" applyBorder="1" applyAlignment="1">
      <alignment horizontal="center"/>
    </xf>
    <xf numFmtId="0" fontId="15" fillId="3" borderId="4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3" fillId="3" borderId="3" xfId="0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/>
    </xf>
    <xf numFmtId="0" fontId="58" fillId="0" borderId="1" xfId="0" applyFont="1" applyBorder="1" applyAlignment="1">
      <alignment horizontal="center"/>
    </xf>
    <xf numFmtId="0" fontId="59" fillId="0" borderId="4" xfId="0" applyFont="1" applyBorder="1" applyAlignment="1">
      <alignment horizontal="center"/>
    </xf>
    <xf numFmtId="0" fontId="32" fillId="0" borderId="5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17" fillId="12" borderId="0" xfId="0" applyFont="1" applyFill="1" applyBorder="1" applyAlignment="1">
      <alignment horizontal="center"/>
    </xf>
    <xf numFmtId="0" fontId="17" fillId="3" borderId="0" xfId="0" applyFont="1" applyFill="1" applyBorder="1" applyAlignment="1">
      <alignment horizontal="center"/>
    </xf>
    <xf numFmtId="0" fontId="18" fillId="15" borderId="0" xfId="0" applyFont="1" applyFill="1" applyBorder="1" applyAlignment="1">
      <alignment horizontal="center"/>
    </xf>
    <xf numFmtId="0" fontId="15" fillId="3" borderId="5" xfId="0" applyFont="1" applyFill="1" applyBorder="1" applyAlignment="1">
      <alignment horizontal="center"/>
    </xf>
    <xf numFmtId="0" fontId="18" fillId="8" borderId="0" xfId="0" applyFont="1" applyFill="1" applyBorder="1" applyAlignment="1">
      <alignment horizontal="center" wrapText="1"/>
    </xf>
  </cellXfs>
  <cellStyles count="13">
    <cellStyle name="Hyperlink" xfId="1" builtinId="8"/>
    <cellStyle name="Normal" xfId="0" builtinId="0"/>
    <cellStyle name="Normal 2" xfId="2" xr:uid="{00000000-0005-0000-0000-000002000000}"/>
    <cellStyle name="Normal 2 10" xfId="12" xr:uid="{0A4315FA-911C-4400-A8BA-96D674FA0DF0}"/>
    <cellStyle name="Normal 2 2" xfId="3" xr:uid="{00000000-0005-0000-0000-000003000000}"/>
    <cellStyle name="Normal 3" xfId="4" xr:uid="{00000000-0005-0000-0000-000004000000}"/>
    <cellStyle name="Normal 3 2" xfId="5" xr:uid="{00000000-0005-0000-0000-000005000000}"/>
    <cellStyle name="Normal 4" xfId="6" xr:uid="{00000000-0005-0000-0000-000006000000}"/>
    <cellStyle name="Normal 4 2" xfId="7" xr:uid="{00000000-0005-0000-0000-000007000000}"/>
    <cellStyle name="Normal 5" xfId="8" xr:uid="{00000000-0005-0000-0000-000008000000}"/>
    <cellStyle name="Normal 6" xfId="9" xr:uid="{00000000-0005-0000-0000-000009000000}"/>
    <cellStyle name="Normal 6 2" xfId="10" xr:uid="{00000000-0005-0000-0000-00000A000000}"/>
    <cellStyle name="Percent" xfId="11" builtinId="5"/>
  </cellStyles>
  <dxfs count="236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 style="thin">
          <color theme="5"/>
        </right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indexed="64"/>
        </left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alignment horizontal="right" vertical="bottom" textRotation="0" wrapText="0" indent="0" justifyLastLine="0" shrinkToFit="0" readingOrder="0"/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minor"/>
      </font>
      <alignment horizontal="right" vertical="bottom" textRotation="0" wrapText="0" indent="0" justifyLastLine="0" shrinkToFit="0" readingOrder="0"/>
      <border diagonalUp="0" diagonalDown="0">
        <left/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9" tint="0.5999938962981048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theme="5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strike val="0"/>
        <outline val="0"/>
        <shadow val="0"/>
        <u val="none"/>
        <vertAlign val="baseline"/>
        <sz val="8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0" formatCode="General"/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name val="Arial"/>
        <family val="2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name val="Arial"/>
        <family val="2"/>
        <scheme val="none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leaning%20Survey%20extract%200.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_cleaning" displayName="tbl_cleaning" ref="A5:E660" totalsRowShown="0" tableBorderDxfId="124">
  <autoFilter ref="A5:E660" xr:uid="{165A274D-D076-416C-8ED2-A4F485A01880}"/>
  <tableColumns count="5">
    <tableColumn id="1" xr3:uid="{00000000-0010-0000-0000-000001000000}" name="Scheme/Estate" dataDxfId="123"/>
    <tableColumn id="12" xr3:uid="{59483EC4-F395-46B1-AE85-C2B5FC57DA8D}" name="IntOct-20" dataDxfId="122">
      <calculatedColumnFormula>_xlfn.XLOOKUP(tbl_cleaning[[#This Row],[Scheme/Estate]],[1]!tbl_survey[Scheme Name],[1]!tbl_survey[Internal],"Not rated")</calculatedColumnFormula>
    </tableColumn>
    <tableColumn id="11" xr3:uid="{E476D83A-B64D-41A1-8C63-BB46597AEDA3}" name="ExtOct-20" dataDxfId="121">
      <calculatedColumnFormula array="1">IF(DATEVALUE([1]!tbl_survey[Date of inspection])&gt;DATEVALUE(B2),_xlfn.XLOOKUP(tbl_cleaning[[#This Row],[Scheme/Estate]],[1]!tbl_survey[Scheme Name],[1]!tbl_survey[Internal],"Not rated"),"Not rated")</calculatedColumnFormula>
    </tableColumn>
    <tableColumn id="35" xr3:uid="{00000000-0010-0000-0000-000023000000}" name="Housing Team" dataDxfId="120"/>
    <tableColumn id="29" xr3:uid="{00000000-0010-0000-0000-00001D000000}" name="Region" dataDxfId="119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2000000}" name="Table6" displayName="Table6" ref="A1:I880" totalsRowShown="0">
  <autoFilter ref="A1:I880" xr:uid="{00000000-0009-0000-0100-000006000000}"/>
  <sortState xmlns:xlrd2="http://schemas.microsoft.com/office/spreadsheetml/2017/richdata2" ref="A2:I879">
    <sortCondition ref="A1:A879"/>
  </sortState>
  <tableColumns count="9">
    <tableColumn id="1" xr3:uid="{00000000-0010-0000-0200-000001000000}" name="Scheme/Estate" dataDxfId="101"/>
    <tableColumn id="2" xr3:uid="{00000000-0010-0000-0200-000002000000}" name="Cleaning Contractor" dataDxfId="100"/>
    <tableColumn id="3" xr3:uid="{00000000-0010-0000-0200-000003000000}" name="Grounds Contractor" dataDxfId="99"/>
    <tableColumn id="4" xr3:uid="{00000000-0010-0000-0200-000004000000}" name="Internal" dataDxfId="98"/>
    <tableColumn id="5" xr3:uid="{00000000-0010-0000-0200-000005000000}" name="External" dataDxfId="97"/>
    <tableColumn id="6" xr3:uid="{00000000-0010-0000-0200-000006000000}" name="Grounds" dataDxfId="96"/>
    <tableColumn id="7" xr3:uid="{00000000-0010-0000-0200-000007000000}" name="Managing Agent" dataDxfId="95"/>
    <tableColumn id="8" xr3:uid="{00000000-0010-0000-0200-000008000000}" name="Team" dataDxfId="94"/>
    <tableColumn id="9" xr3:uid="{00000000-0010-0000-0200-000009000000}" name="Old name" dataDxfId="93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AE154"/>
  <sheetViews>
    <sheetView zoomScale="120" zoomScaleNormal="120" workbookViewId="0">
      <pane ySplit="2" topLeftCell="A3" activePane="bottomLeft" state="frozen"/>
      <selection pane="bottomLeft" activeCell="I6" sqref="I6"/>
    </sheetView>
  </sheetViews>
  <sheetFormatPr defaultRowHeight="15" x14ac:dyDescent="0.25"/>
  <cols>
    <col min="1" max="1" width="33" customWidth="1"/>
    <col min="2" max="2" width="7.85546875" customWidth="1"/>
    <col min="3" max="3" width="14.140625" customWidth="1"/>
    <col min="4" max="4" width="4.140625" customWidth="1"/>
    <col min="5" max="5" width="7.85546875" customWidth="1"/>
    <col min="6" max="6" width="6.140625" customWidth="1"/>
    <col min="7" max="7" width="2.140625" customWidth="1"/>
    <col min="8" max="8" width="10.85546875" style="49" customWidth="1"/>
    <col min="9" max="9" width="2.140625" customWidth="1"/>
    <col min="10" max="10" width="11" style="49" customWidth="1"/>
    <col min="11" max="11" width="2.85546875" customWidth="1"/>
    <col min="12" max="12" width="14.5703125" customWidth="1"/>
    <col min="13" max="13" width="2.140625" customWidth="1"/>
    <col min="14" max="14" width="9.140625" customWidth="1"/>
    <col min="15" max="15" width="2.140625" customWidth="1"/>
    <col min="16" max="16" width="13.42578125" style="49" customWidth="1"/>
    <col min="17" max="17" width="5.85546875" customWidth="1"/>
    <col min="18" max="18" width="20.140625" customWidth="1"/>
    <col min="19" max="19" width="1.140625" customWidth="1"/>
    <col min="20" max="21" width="9.85546875" customWidth="1"/>
    <col min="22" max="29" width="9.140625" customWidth="1"/>
  </cols>
  <sheetData>
    <row r="1" spans="1:31" ht="26.25" customHeight="1" x14ac:dyDescent="0.25">
      <c r="A1" s="8"/>
      <c r="B1" s="9" t="s">
        <v>0</v>
      </c>
      <c r="C1" s="187">
        <v>43920</v>
      </c>
      <c r="D1" s="8"/>
      <c r="E1" s="9" t="s">
        <v>1</v>
      </c>
      <c r="F1" s="65">
        <v>1</v>
      </c>
      <c r="G1" s="8"/>
      <c r="H1" s="47"/>
      <c r="I1" s="10"/>
      <c r="J1" s="47"/>
      <c r="K1" s="10"/>
      <c r="L1" s="11"/>
      <c r="M1" s="10"/>
      <c r="N1" s="11"/>
      <c r="O1" s="8"/>
      <c r="P1" s="46" t="s">
        <v>2</v>
      </c>
      <c r="Q1" s="65">
        <v>0.9</v>
      </c>
      <c r="R1" s="12"/>
      <c r="S1" s="12"/>
      <c r="T1" s="8"/>
      <c r="U1" s="8"/>
      <c r="AC1" t="s">
        <v>3</v>
      </c>
    </row>
    <row r="2" spans="1:31" ht="43.5" customHeight="1" x14ac:dyDescent="0.25">
      <c r="A2" s="13"/>
      <c r="B2" s="13"/>
      <c r="C2" s="13"/>
      <c r="D2" s="13"/>
      <c r="E2" s="13"/>
      <c r="F2" s="13"/>
      <c r="G2" s="13"/>
      <c r="H2" s="17" t="s">
        <v>4</v>
      </c>
      <c r="I2" s="13"/>
      <c r="J2" s="17" t="s">
        <v>5</v>
      </c>
      <c r="K2" s="13"/>
      <c r="L2" s="14" t="s">
        <v>6</v>
      </c>
      <c r="M2" s="13"/>
      <c r="N2" s="14" t="s">
        <v>2</v>
      </c>
      <c r="O2" s="13"/>
      <c r="P2" s="17" t="s">
        <v>7</v>
      </c>
      <c r="Q2" s="13"/>
      <c r="R2" s="13" t="s">
        <v>8</v>
      </c>
      <c r="S2" s="13"/>
      <c r="T2" s="13" t="s">
        <v>2</v>
      </c>
      <c r="U2" s="13"/>
    </row>
    <row r="3" spans="1:31" x14ac:dyDescent="0.25">
      <c r="A3" s="13"/>
      <c r="B3" s="13"/>
      <c r="C3" s="13"/>
      <c r="D3" s="13"/>
      <c r="E3" s="13"/>
      <c r="F3" s="13"/>
      <c r="G3" s="13"/>
      <c r="H3" s="17"/>
      <c r="I3" s="13"/>
      <c r="J3" s="17"/>
      <c r="K3" s="13"/>
      <c r="L3" s="14"/>
      <c r="M3" s="13"/>
      <c r="N3" s="14"/>
      <c r="O3" s="13"/>
      <c r="P3" s="17"/>
      <c r="Q3" s="13"/>
      <c r="R3" s="13"/>
      <c r="S3" s="13"/>
      <c r="T3" s="13"/>
      <c r="U3" s="13"/>
    </row>
    <row r="4" spans="1:31" ht="15.75" x14ac:dyDescent="0.25">
      <c r="A4" s="502" t="s">
        <v>9</v>
      </c>
      <c r="B4" s="504" t="s">
        <v>10</v>
      </c>
      <c r="C4" s="504"/>
      <c r="D4" s="504"/>
      <c r="E4" s="504"/>
      <c r="F4" s="504"/>
      <c r="G4" s="15"/>
      <c r="H4" s="46" t="e">
        <f>COUNTIFS(tbl_cleaning[Housing Team],"ATB1",#REF!,"&lt;&gt;NV")</f>
        <v>#REF!</v>
      </c>
      <c r="I4" s="10"/>
      <c r="J4" s="46" t="e">
        <f>SUM(COUNTIFS(tbl_cleaning[Housing Team],"ATB1",#REF!,{"1","2","3","4"}))</f>
        <v>#REF!</v>
      </c>
      <c r="K4" s="10"/>
      <c r="L4" s="16" t="e">
        <f>J4/H4</f>
        <v>#REF!</v>
      </c>
      <c r="M4" s="10"/>
      <c r="N4" s="16">
        <f>$F$1</f>
        <v>1</v>
      </c>
      <c r="O4" s="8"/>
      <c r="P4" s="46" t="e">
        <f>COUNTIFS(tbl_cleaning[Housing Team],"ATB1",#REF!,3)+COUNTIFS(tbl_cleaning[Housing Team],"ATB1",#REF!,4)</f>
        <v>#REF!</v>
      </c>
      <c r="Q4" s="10"/>
      <c r="R4" s="16">
        <f t="shared" ref="R4:R7" si="0">IFERROR(P4/J4,0)</f>
        <v>0</v>
      </c>
      <c r="S4" s="10"/>
      <c r="T4" s="40">
        <f>$Q$1</f>
        <v>0.9</v>
      </c>
      <c r="U4" s="13"/>
    </row>
    <row r="5" spans="1:31" ht="15.75" x14ac:dyDescent="0.25">
      <c r="A5" s="502"/>
      <c r="B5" s="504" t="s">
        <v>11</v>
      </c>
      <c r="C5" s="504"/>
      <c r="D5" s="504"/>
      <c r="E5" s="504"/>
      <c r="F5" s="504"/>
      <c r="G5" s="15"/>
      <c r="H5" s="46" t="e">
        <f>COUNTIFS(tbl_cleaning[Housing Team],"ATB1",#REF!,"&lt;&gt;NV")</f>
        <v>#REF!</v>
      </c>
      <c r="I5" s="10"/>
      <c r="J5" s="46" t="e">
        <f>SUM(COUNTIFS(tbl_cleaning[Housing Team],"ATB1",#REF!,{"1","2","3","4"}))</f>
        <v>#REF!</v>
      </c>
      <c r="K5" s="10"/>
      <c r="L5" s="16" t="e">
        <f>J5/H5</f>
        <v>#REF!</v>
      </c>
      <c r="M5" s="10"/>
      <c r="N5" s="16">
        <f>$F$1</f>
        <v>1</v>
      </c>
      <c r="O5" s="8"/>
      <c r="P5" s="46" t="e">
        <f>COUNTIFS(tbl_cleaning[Housing Team],"ATB1",#REF!,3)+COUNTIFS(tbl_cleaning[Housing Team],"ATB1",#REF!,4)</f>
        <v>#REF!</v>
      </c>
      <c r="Q5" s="10"/>
      <c r="R5" s="16">
        <f t="shared" si="0"/>
        <v>0</v>
      </c>
      <c r="S5" s="10"/>
      <c r="T5" s="40">
        <f t="shared" ref="T5:T7" si="1">$Q$1</f>
        <v>0.9</v>
      </c>
      <c r="U5" s="13"/>
    </row>
    <row r="6" spans="1:31" ht="15.75" x14ac:dyDescent="0.25">
      <c r="A6" s="502"/>
      <c r="B6" s="504" t="s">
        <v>12</v>
      </c>
      <c r="C6" s="504"/>
      <c r="D6" s="504"/>
      <c r="E6" s="504"/>
      <c r="F6" s="504"/>
      <c r="G6" s="15"/>
      <c r="H6" s="46" t="e">
        <f>(COUNTIFS(#REF!,"ATB1",#REF!,"&lt;&gt;NV"))</f>
        <v>#REF!</v>
      </c>
      <c r="I6" s="10"/>
      <c r="J6" s="46" t="e" cm="1">
        <f t="array" ref="J6">SUM(COUNTIFS(#REF!,"ATB1",#REF!,{"1","2","3","4"}))</f>
        <v>#REF!</v>
      </c>
      <c r="K6" s="10"/>
      <c r="L6" s="16" t="e">
        <f>J6/H6</f>
        <v>#REF!</v>
      </c>
      <c r="M6" s="10"/>
      <c r="N6" s="16">
        <f>$F$1</f>
        <v>1</v>
      </c>
      <c r="O6" s="8"/>
      <c r="P6" s="46" t="e">
        <f>COUNTIFS(#REF!,"ATB1",#REF!,3)+COUNTIFS(#REF!,"ATB1",#REF!,4)</f>
        <v>#REF!</v>
      </c>
      <c r="Q6" s="10"/>
      <c r="R6" s="16">
        <f t="shared" si="0"/>
        <v>0</v>
      </c>
      <c r="S6" s="10"/>
      <c r="T6" s="40">
        <f t="shared" si="1"/>
        <v>0.9</v>
      </c>
      <c r="U6" s="13"/>
    </row>
    <row r="7" spans="1:31" x14ac:dyDescent="0.25">
      <c r="A7" s="503"/>
      <c r="B7" s="504" t="s">
        <v>13</v>
      </c>
      <c r="C7" s="504"/>
      <c r="D7" s="504"/>
      <c r="E7" s="504"/>
      <c r="F7" s="504"/>
      <c r="G7" s="8"/>
      <c r="H7" s="46" t="e">
        <f>H4+H5+H6</f>
        <v>#REF!</v>
      </c>
      <c r="I7" s="10"/>
      <c r="J7" s="46" t="e">
        <f>SUM(J4:J6)</f>
        <v>#REF!</v>
      </c>
      <c r="K7" s="10"/>
      <c r="L7" s="16" t="e">
        <f>J7/H7</f>
        <v>#REF!</v>
      </c>
      <c r="M7" s="10"/>
      <c r="N7" s="16">
        <f>$F$1</f>
        <v>1</v>
      </c>
      <c r="O7" s="8"/>
      <c r="P7" s="46" t="e">
        <f>SUM(P4:P6)</f>
        <v>#REF!</v>
      </c>
      <c r="Q7" s="10"/>
      <c r="R7" s="16">
        <f t="shared" si="0"/>
        <v>0</v>
      </c>
      <c r="S7" s="10"/>
      <c r="T7" s="40">
        <f t="shared" si="1"/>
        <v>0.9</v>
      </c>
      <c r="U7" s="13"/>
    </row>
    <row r="8" spans="1:31" x14ac:dyDescent="0.25">
      <c r="H8"/>
      <c r="J8"/>
      <c r="P8"/>
    </row>
    <row r="9" spans="1:31" ht="15.75" x14ac:dyDescent="0.25">
      <c r="A9" s="502" t="s">
        <v>1355</v>
      </c>
      <c r="B9" s="504" t="s">
        <v>10</v>
      </c>
      <c r="C9" s="504"/>
      <c r="D9" s="504"/>
      <c r="E9" s="504"/>
      <c r="F9" s="504"/>
      <c r="G9" s="15"/>
      <c r="H9" s="46" t="e">
        <f>COUNTIFS(tbl_cleaning[Housing Team],"ATB2",#REF!,"&lt;&gt;NV")</f>
        <v>#REF!</v>
      </c>
      <c r="I9" s="10"/>
      <c r="J9" s="46" t="e">
        <f>SUM(COUNTIFS(tbl_cleaning[Housing Team],"ATB2",#REF!,{"1","2","3","4"}))</f>
        <v>#REF!</v>
      </c>
      <c r="K9" s="10"/>
      <c r="L9" s="16" t="e">
        <f>J9/H9</f>
        <v>#REF!</v>
      </c>
      <c r="M9" s="10"/>
      <c r="N9" s="16">
        <f>$F$1</f>
        <v>1</v>
      </c>
      <c r="O9" s="8"/>
      <c r="P9" s="46" t="e">
        <f>COUNTIFS(tbl_cleaning[Housing Team],"ATB2",#REF!,3)+COUNTIFS(tbl_cleaning[Housing Team],"ATB2",#REF!,4)</f>
        <v>#REF!</v>
      </c>
      <c r="Q9" s="10"/>
      <c r="R9" s="16">
        <f t="shared" ref="R9:R12" si="2">IFERROR(P9/J9,0)</f>
        <v>0</v>
      </c>
      <c r="S9" s="10"/>
      <c r="T9" s="40">
        <f t="shared" ref="T9:T12" si="3">$Q$1</f>
        <v>0.9</v>
      </c>
      <c r="U9" s="8"/>
    </row>
    <row r="10" spans="1:31" ht="15.75" x14ac:dyDescent="0.25">
      <c r="A10" s="502"/>
      <c r="B10" s="504" t="s">
        <v>11</v>
      </c>
      <c r="C10" s="504"/>
      <c r="D10" s="504"/>
      <c r="E10" s="504"/>
      <c r="F10" s="504"/>
      <c r="G10" s="15"/>
      <c r="H10" s="46" t="e">
        <f>COUNTIFS(tbl_cleaning[Housing Team],"ATB2",#REF!,"&lt;&gt;NV")</f>
        <v>#REF!</v>
      </c>
      <c r="I10" s="10"/>
      <c r="J10" s="46" t="e">
        <f>SUM(COUNTIFS(tbl_cleaning[Housing Team],"ATB2",#REF!,{"1","2","3","4"}))</f>
        <v>#REF!</v>
      </c>
      <c r="K10" s="10"/>
      <c r="L10" s="16" t="e">
        <f>J10/H10</f>
        <v>#REF!</v>
      </c>
      <c r="M10" s="10"/>
      <c r="N10" s="16">
        <f>$F$1</f>
        <v>1</v>
      </c>
      <c r="O10" s="8"/>
      <c r="P10" s="46" t="e">
        <f>COUNTIFS(tbl_cleaning[Housing Team],"ATB2",#REF!,3)+COUNTIFS(tbl_cleaning[Housing Team],"ATB2",#REF!,4)</f>
        <v>#REF!</v>
      </c>
      <c r="Q10" s="10"/>
      <c r="R10" s="16">
        <f t="shared" si="2"/>
        <v>0</v>
      </c>
      <c r="S10" s="10"/>
      <c r="T10" s="40">
        <f t="shared" si="3"/>
        <v>0.9</v>
      </c>
      <c r="U10" s="8"/>
      <c r="AE10" t="s">
        <v>3</v>
      </c>
    </row>
    <row r="11" spans="1:31" ht="15.75" x14ac:dyDescent="0.25">
      <c r="A11" s="502"/>
      <c r="B11" s="504" t="s">
        <v>12</v>
      </c>
      <c r="C11" s="504"/>
      <c r="D11" s="504"/>
      <c r="E11" s="504"/>
      <c r="F11" s="504"/>
      <c r="G11" s="15"/>
      <c r="H11" s="46" t="e">
        <f>(COUNTIFS(#REF!,"ATB2",#REF!,"&lt;&gt;NV"))</f>
        <v>#REF!</v>
      </c>
      <c r="I11" s="10"/>
      <c r="J11" s="46" t="e">
        <f t="array" ref="J11">SUM(COUNTIFS(#REF!,"ATB2",#REF!,{"1","2","3","4"}))</f>
        <v>#REF!</v>
      </c>
      <c r="K11" s="10"/>
      <c r="L11" s="16" t="e">
        <f>J11/H11</f>
        <v>#REF!</v>
      </c>
      <c r="M11" s="10"/>
      <c r="N11" s="16">
        <f>$F$1</f>
        <v>1</v>
      </c>
      <c r="O11" s="8"/>
      <c r="P11" s="46" t="e">
        <f>COUNTIFS(#REF!,"ATB2",#REF!,3)+COUNTIFS(#REF!,"ATB2",#REF!,4)</f>
        <v>#REF!</v>
      </c>
      <c r="Q11" s="10"/>
      <c r="R11" s="16">
        <f t="shared" si="2"/>
        <v>0</v>
      </c>
      <c r="S11" s="10"/>
      <c r="T11" s="40">
        <f t="shared" si="3"/>
        <v>0.9</v>
      </c>
      <c r="U11" s="8"/>
    </row>
    <row r="12" spans="1:31" x14ac:dyDescent="0.25">
      <c r="A12" s="503"/>
      <c r="B12" s="504" t="s">
        <v>13</v>
      </c>
      <c r="C12" s="504"/>
      <c r="D12" s="504"/>
      <c r="E12" s="504"/>
      <c r="F12" s="504"/>
      <c r="G12" s="8"/>
      <c r="H12" s="46" t="e">
        <f>H9+H10+H11</f>
        <v>#REF!</v>
      </c>
      <c r="I12" s="10"/>
      <c r="J12" s="46" t="e">
        <f>SUM(J9:J11)</f>
        <v>#REF!</v>
      </c>
      <c r="K12" s="10"/>
      <c r="L12" s="16" t="e">
        <f>J12/H12</f>
        <v>#REF!</v>
      </c>
      <c r="M12" s="10"/>
      <c r="N12" s="16">
        <f>$F$1</f>
        <v>1</v>
      </c>
      <c r="O12" s="8"/>
      <c r="P12" s="46" t="e">
        <f>SUM(P9:P11)</f>
        <v>#REF!</v>
      </c>
      <c r="Q12" s="10"/>
      <c r="R12" s="16">
        <f t="shared" si="2"/>
        <v>0</v>
      </c>
      <c r="S12" s="10"/>
      <c r="T12" s="40">
        <f t="shared" si="3"/>
        <v>0.9</v>
      </c>
      <c r="U12" s="8"/>
    </row>
    <row r="13" spans="1:31" x14ac:dyDescent="0.25">
      <c r="H13"/>
      <c r="J13"/>
      <c r="P13"/>
    </row>
    <row r="14" spans="1:31" ht="15.75" x14ac:dyDescent="0.25">
      <c r="A14" s="505" t="s">
        <v>15</v>
      </c>
      <c r="B14" s="504" t="s">
        <v>10</v>
      </c>
      <c r="C14" s="504"/>
      <c r="D14" s="504"/>
      <c r="E14" s="504"/>
      <c r="F14" s="504"/>
      <c r="G14" s="15"/>
      <c r="H14" s="46" t="e">
        <f>COUNTIFS(tbl_cleaning[Housing Team],"ATB3",#REF!,"&lt;&gt;NV")</f>
        <v>#REF!</v>
      </c>
      <c r="I14" s="10"/>
      <c r="J14" s="46" t="e">
        <f>SUM(COUNTIFS(tbl_cleaning[Housing Team],"ATB3",#REF!,{"1","2","3","4"}))</f>
        <v>#REF!</v>
      </c>
      <c r="K14" s="10"/>
      <c r="L14" s="16" t="e">
        <f>J14/H14</f>
        <v>#REF!</v>
      </c>
      <c r="M14" s="10"/>
      <c r="N14" s="16">
        <f>$F$1</f>
        <v>1</v>
      </c>
      <c r="O14" s="8"/>
      <c r="P14" s="46" t="e">
        <f>COUNTIFS(tbl_cleaning[Housing Team],"ATB3",#REF!,3)+COUNTIFS(tbl_cleaning[Housing Team],"ATB3",#REF!,4)</f>
        <v>#REF!</v>
      </c>
      <c r="Q14" s="10"/>
      <c r="R14" s="16">
        <f t="shared" ref="R14:R17" si="4">IFERROR(P14/J14,0)</f>
        <v>0</v>
      </c>
      <c r="S14" s="10"/>
      <c r="T14" s="40">
        <f t="shared" ref="T14:T17" si="5">$Q$1</f>
        <v>0.9</v>
      </c>
      <c r="U14" s="8"/>
    </row>
    <row r="15" spans="1:31" ht="15.75" x14ac:dyDescent="0.25">
      <c r="A15" s="505"/>
      <c r="B15" s="504" t="s">
        <v>11</v>
      </c>
      <c r="C15" s="504"/>
      <c r="D15" s="504"/>
      <c r="E15" s="504"/>
      <c r="F15" s="504"/>
      <c r="G15" s="15"/>
      <c r="H15" s="46" t="e">
        <f>COUNTIFS(tbl_cleaning[Housing Team],"ATB3",#REF!,"&lt;&gt;NV")</f>
        <v>#REF!</v>
      </c>
      <c r="I15" s="10"/>
      <c r="J15" s="46" t="e">
        <f>SUM(COUNTIFS(tbl_cleaning[Housing Team],"ATB3",#REF!,{"1","2","3","4"}))</f>
        <v>#REF!</v>
      </c>
      <c r="K15" s="10"/>
      <c r="L15" s="16" t="e">
        <f>J15/H15</f>
        <v>#REF!</v>
      </c>
      <c r="M15" s="10"/>
      <c r="N15" s="16">
        <f>$F$1</f>
        <v>1</v>
      </c>
      <c r="O15" s="8"/>
      <c r="P15" s="46" t="e">
        <f>COUNTIFS(tbl_cleaning[Housing Team],"ATB3",#REF!,3)+COUNTIFS(tbl_cleaning[Housing Team],"ATB3",#REF!,4)</f>
        <v>#REF!</v>
      </c>
      <c r="Q15" s="10"/>
      <c r="R15" s="16">
        <f t="shared" si="4"/>
        <v>0</v>
      </c>
      <c r="S15" s="10"/>
      <c r="T15" s="40">
        <f t="shared" si="5"/>
        <v>0.9</v>
      </c>
      <c r="U15" s="8"/>
    </row>
    <row r="16" spans="1:31" ht="15.75" x14ac:dyDescent="0.25">
      <c r="A16" s="505"/>
      <c r="B16" s="504" t="s">
        <v>12</v>
      </c>
      <c r="C16" s="504"/>
      <c r="D16" s="504"/>
      <c r="E16" s="504"/>
      <c r="F16" s="504"/>
      <c r="G16" s="15"/>
      <c r="H16" s="46" t="e">
        <f>(COUNTIFS(#REF!,"ATB3",#REF!,"&lt;&gt;NV"))</f>
        <v>#REF!</v>
      </c>
      <c r="I16" s="10"/>
      <c r="J16" s="46" t="e">
        <f t="array" ref="J16">SUM(COUNTIFS(#REF!,"ATB3",#REF!,{"1","2","3","4"}))</f>
        <v>#REF!</v>
      </c>
      <c r="K16" s="10"/>
      <c r="L16" s="16" t="e">
        <f>J16/H16</f>
        <v>#REF!</v>
      </c>
      <c r="M16" s="10"/>
      <c r="N16" s="16">
        <f>$F$1</f>
        <v>1</v>
      </c>
      <c r="O16" s="8"/>
      <c r="P16" s="46" t="e">
        <f>COUNTIFS(#REF!,"ATB3",#REF!,3)+COUNTIFS(#REF!,"ATB3",#REF!,4)</f>
        <v>#REF!</v>
      </c>
      <c r="Q16" s="10"/>
      <c r="R16" s="16">
        <f t="shared" si="4"/>
        <v>0</v>
      </c>
      <c r="S16" s="10"/>
      <c r="T16" s="40">
        <f t="shared" si="5"/>
        <v>0.9</v>
      </c>
      <c r="U16" s="8"/>
    </row>
    <row r="17" spans="1:21" x14ac:dyDescent="0.25">
      <c r="A17" s="506"/>
      <c r="B17" s="504" t="s">
        <v>13</v>
      </c>
      <c r="C17" s="504"/>
      <c r="D17" s="504"/>
      <c r="E17" s="504"/>
      <c r="F17" s="504"/>
      <c r="G17" s="8"/>
      <c r="H17" s="46" t="e">
        <f>H14+H15+H16</f>
        <v>#REF!</v>
      </c>
      <c r="I17" s="10"/>
      <c r="J17" s="46" t="e">
        <f>SUM(J14:J16)</f>
        <v>#REF!</v>
      </c>
      <c r="K17" s="10"/>
      <c r="L17" s="16" t="e">
        <f>J17/H17</f>
        <v>#REF!</v>
      </c>
      <c r="M17" s="10"/>
      <c r="N17" s="16">
        <f>$F$1</f>
        <v>1</v>
      </c>
      <c r="O17" s="8"/>
      <c r="P17" s="46" t="e">
        <f>SUM(P14:P16)</f>
        <v>#REF!</v>
      </c>
      <c r="Q17" s="10"/>
      <c r="R17" s="16">
        <f t="shared" si="4"/>
        <v>0</v>
      </c>
      <c r="S17" s="10"/>
      <c r="T17" s="40">
        <f t="shared" si="5"/>
        <v>0.9</v>
      </c>
      <c r="U17" s="8"/>
    </row>
    <row r="18" spans="1:21" x14ac:dyDescent="0.25">
      <c r="H18"/>
      <c r="J18"/>
      <c r="P18"/>
    </row>
    <row r="19" spans="1:21" ht="15.75" x14ac:dyDescent="0.25">
      <c r="A19" s="502" t="s">
        <v>16</v>
      </c>
      <c r="B19" s="504" t="s">
        <v>10</v>
      </c>
      <c r="C19" s="504"/>
      <c r="D19" s="504"/>
      <c r="E19" s="504"/>
      <c r="F19" s="504"/>
      <c r="G19" s="15"/>
      <c r="H19" s="46" t="e">
        <f>COUNTIFS(tbl_cleaning[Housing Team],"ATB4",#REF!,"&lt;&gt;NV")</f>
        <v>#REF!</v>
      </c>
      <c r="I19" s="10"/>
      <c r="J19" s="46" t="e">
        <f>SUM(COUNTIFS(tbl_cleaning[Housing Team],"ATB4",#REF!,{"1","2","3","4"}))</f>
        <v>#REF!</v>
      </c>
      <c r="K19" s="10"/>
      <c r="L19" s="16" t="e">
        <f>J19/H19</f>
        <v>#REF!</v>
      </c>
      <c r="M19" s="10"/>
      <c r="N19" s="16">
        <f>$F$1</f>
        <v>1</v>
      </c>
      <c r="O19" s="8"/>
      <c r="P19" s="46" t="e">
        <f>COUNTIFS(tbl_cleaning[Housing Team],"ATB4",#REF!,3)+COUNTIFS(tbl_cleaning[Housing Team],"ATB4",#REF!,4)</f>
        <v>#REF!</v>
      </c>
      <c r="Q19" s="10"/>
      <c r="R19" s="16">
        <f t="shared" ref="R19:R22" si="6">IFERROR(P19/J19,0)</f>
        <v>0</v>
      </c>
      <c r="S19" s="10"/>
      <c r="T19" s="40">
        <f t="shared" ref="T19:T22" si="7">$Q$1</f>
        <v>0.9</v>
      </c>
      <c r="U19" s="8"/>
    </row>
    <row r="20" spans="1:21" ht="15.75" x14ac:dyDescent="0.25">
      <c r="A20" s="502"/>
      <c r="B20" s="504" t="s">
        <v>11</v>
      </c>
      <c r="C20" s="504"/>
      <c r="D20" s="504"/>
      <c r="E20" s="504"/>
      <c r="F20" s="504"/>
      <c r="G20" s="15"/>
      <c r="H20" s="46" t="e">
        <f>COUNTIFS(tbl_cleaning[Housing Team],"ATB4",#REF!,"&lt;&gt;NV")</f>
        <v>#REF!</v>
      </c>
      <c r="I20" s="10"/>
      <c r="J20" s="46" t="e">
        <f>SUM(COUNTIFS(tbl_cleaning[Housing Team],"ATB4",#REF!,{"1","2","3","4"}))</f>
        <v>#REF!</v>
      </c>
      <c r="K20" s="10"/>
      <c r="L20" s="16" t="e">
        <f>J20/H20</f>
        <v>#REF!</v>
      </c>
      <c r="M20" s="10"/>
      <c r="N20" s="16">
        <f>$F$1</f>
        <v>1</v>
      </c>
      <c r="O20" s="8"/>
      <c r="P20" s="46" t="e">
        <f>COUNTIFS(tbl_cleaning[Housing Team],"ATB4",#REF!,3)+COUNTIFS(tbl_cleaning[Housing Team],"ATB4",#REF!,4)</f>
        <v>#REF!</v>
      </c>
      <c r="Q20" s="10"/>
      <c r="R20" s="16">
        <f t="shared" si="6"/>
        <v>0</v>
      </c>
      <c r="S20" s="10"/>
      <c r="T20" s="40">
        <f t="shared" si="7"/>
        <v>0.9</v>
      </c>
      <c r="U20" s="8"/>
    </row>
    <row r="21" spans="1:21" ht="15.75" x14ac:dyDescent="0.25">
      <c r="A21" s="502"/>
      <c r="B21" s="504" t="s">
        <v>12</v>
      </c>
      <c r="C21" s="504"/>
      <c r="D21" s="504"/>
      <c r="E21" s="504"/>
      <c r="F21" s="504"/>
      <c r="G21" s="15"/>
      <c r="H21" s="46" t="e">
        <f>(COUNTIFS(#REF!,"ATB4",#REF!,"&lt;&gt;NV"))</f>
        <v>#REF!</v>
      </c>
      <c r="I21" s="10"/>
      <c r="J21" s="46" t="e">
        <f t="array" ref="J21">SUM(COUNTIFS(#REF!,"ATB4",#REF!,{"1","2","3","4"}))</f>
        <v>#REF!</v>
      </c>
      <c r="K21" s="10"/>
      <c r="L21" s="16" t="e">
        <f>J21/H21</f>
        <v>#REF!</v>
      </c>
      <c r="M21" s="10"/>
      <c r="N21" s="16">
        <f>$F$1</f>
        <v>1</v>
      </c>
      <c r="O21" s="8"/>
      <c r="P21" s="46" t="e">
        <f>COUNTIFS(#REF!,"ATB4",#REF!,3)+COUNTIFS(#REF!,"ATB4",#REF!,4)</f>
        <v>#REF!</v>
      </c>
      <c r="Q21" s="10"/>
      <c r="R21" s="16">
        <f t="shared" si="6"/>
        <v>0</v>
      </c>
      <c r="S21" s="10"/>
      <c r="T21" s="40">
        <f t="shared" si="7"/>
        <v>0.9</v>
      </c>
      <c r="U21" s="8"/>
    </row>
    <row r="22" spans="1:21" x14ac:dyDescent="0.25">
      <c r="A22" s="503"/>
      <c r="B22" s="504" t="s">
        <v>13</v>
      </c>
      <c r="C22" s="504"/>
      <c r="D22" s="504"/>
      <c r="E22" s="504"/>
      <c r="F22" s="504"/>
      <c r="G22" s="8"/>
      <c r="H22" s="46" t="e">
        <f>H19+H20+H21</f>
        <v>#REF!</v>
      </c>
      <c r="I22" s="10"/>
      <c r="J22" s="46" t="e">
        <f>SUM(J19:J21)</f>
        <v>#REF!</v>
      </c>
      <c r="K22" s="10"/>
      <c r="L22" s="16" t="e">
        <f>J22/H22</f>
        <v>#REF!</v>
      </c>
      <c r="M22" s="10"/>
      <c r="N22" s="16">
        <f>$F$1</f>
        <v>1</v>
      </c>
      <c r="O22" s="8"/>
      <c r="P22" s="46" t="e">
        <f>SUM(P19:P21)</f>
        <v>#REF!</v>
      </c>
      <c r="Q22" s="10"/>
      <c r="R22" s="16">
        <f t="shared" si="6"/>
        <v>0</v>
      </c>
      <c r="S22" s="10"/>
      <c r="T22" s="40">
        <f t="shared" si="7"/>
        <v>0.9</v>
      </c>
      <c r="U22" s="8"/>
    </row>
    <row r="23" spans="1:21" x14ac:dyDescent="0.25">
      <c r="H23"/>
      <c r="J23"/>
      <c r="P23"/>
    </row>
    <row r="24" spans="1:21" ht="15.75" x14ac:dyDescent="0.25">
      <c r="A24" s="502" t="s">
        <v>17</v>
      </c>
      <c r="B24" s="504" t="s">
        <v>10</v>
      </c>
      <c r="C24" s="504"/>
      <c r="D24" s="504"/>
      <c r="E24" s="504"/>
      <c r="F24" s="504"/>
      <c r="G24" s="15"/>
      <c r="H24" s="46" t="e">
        <f>COUNTIFS(tbl_cleaning[Housing Team],"ATB5",#REF!,"&lt;&gt;NV")</f>
        <v>#REF!</v>
      </c>
      <c r="I24" s="10"/>
      <c r="J24" s="46" t="e">
        <f>SUM(COUNTIFS(tbl_cleaning[Housing Team],"ATB5",#REF!,{"1","2","3","4"}))</f>
        <v>#REF!</v>
      </c>
      <c r="K24" s="10"/>
      <c r="L24" s="16" t="e">
        <f>J24/H24</f>
        <v>#REF!</v>
      </c>
      <c r="M24" s="10"/>
      <c r="N24" s="16">
        <f>$F$1</f>
        <v>1</v>
      </c>
      <c r="O24" s="8"/>
      <c r="P24" s="46" t="e">
        <f>COUNTIFS(tbl_cleaning[Housing Team],"ATB5",#REF!,3)+COUNTIFS(tbl_cleaning[Housing Team],"ATB5",#REF!,4)</f>
        <v>#REF!</v>
      </c>
      <c r="Q24" s="10"/>
      <c r="R24" s="16">
        <f t="shared" ref="R24:R27" si="8">IFERROR(P24/J24,0)</f>
        <v>0</v>
      </c>
      <c r="S24" s="10"/>
      <c r="T24" s="40">
        <f t="shared" ref="T24:T27" si="9">$Q$1</f>
        <v>0.9</v>
      </c>
      <c r="U24" s="8"/>
    </row>
    <row r="25" spans="1:21" ht="15.75" x14ac:dyDescent="0.25">
      <c r="A25" s="502"/>
      <c r="B25" s="504" t="s">
        <v>11</v>
      </c>
      <c r="C25" s="504"/>
      <c r="D25" s="504"/>
      <c r="E25" s="504"/>
      <c r="F25" s="504"/>
      <c r="G25" s="15"/>
      <c r="H25" s="46" t="e">
        <f>COUNTIFS(tbl_cleaning[Housing Team],"ATB5",#REF!,"&lt;&gt;NV")</f>
        <v>#REF!</v>
      </c>
      <c r="I25" s="10"/>
      <c r="J25" s="46" t="e">
        <f>SUM(COUNTIFS(tbl_cleaning[Housing Team],"ATB5",#REF!,{"1","2","3","4"}))</f>
        <v>#REF!</v>
      </c>
      <c r="K25" s="10"/>
      <c r="L25" s="16" t="e">
        <f>J25/H25</f>
        <v>#REF!</v>
      </c>
      <c r="M25" s="10"/>
      <c r="N25" s="16">
        <f>$F$1</f>
        <v>1</v>
      </c>
      <c r="O25" s="8"/>
      <c r="P25" s="46" t="e">
        <f>COUNTIFS(tbl_cleaning[Housing Team],"ATB5",#REF!,3)+COUNTIFS(tbl_cleaning[Housing Team],"ATB5",#REF!,4)</f>
        <v>#REF!</v>
      </c>
      <c r="Q25" s="10"/>
      <c r="R25" s="16">
        <f t="shared" si="8"/>
        <v>0</v>
      </c>
      <c r="S25" s="10"/>
      <c r="T25" s="40">
        <f t="shared" si="9"/>
        <v>0.9</v>
      </c>
      <c r="U25" s="8"/>
    </row>
    <row r="26" spans="1:21" ht="15.75" x14ac:dyDescent="0.25">
      <c r="A26" s="502"/>
      <c r="B26" s="504" t="s">
        <v>12</v>
      </c>
      <c r="C26" s="504"/>
      <c r="D26" s="504"/>
      <c r="E26" s="504"/>
      <c r="F26" s="504"/>
      <c r="G26" s="15"/>
      <c r="H26" s="46" t="e">
        <f>(COUNTIFS(#REF!,"ATB5",#REF!,"&lt;&gt;NV"))</f>
        <v>#REF!</v>
      </c>
      <c r="I26" s="10"/>
      <c r="J26" s="46" t="e">
        <f t="array" ref="J26">SUM(COUNTIFS(#REF!,"ATB5",#REF!,{"1","2","3","4"}))</f>
        <v>#REF!</v>
      </c>
      <c r="K26" s="10"/>
      <c r="L26" s="16" t="e">
        <f>J26/H26</f>
        <v>#REF!</v>
      </c>
      <c r="M26" s="10"/>
      <c r="N26" s="16">
        <f>$F$1</f>
        <v>1</v>
      </c>
      <c r="O26" s="8"/>
      <c r="P26" s="46" t="e">
        <f>COUNTIFS(#REF!,"ATB5",#REF!,3)+COUNTIFS(#REF!,"ATB5",#REF!,4)</f>
        <v>#REF!</v>
      </c>
      <c r="Q26" s="10"/>
      <c r="R26" s="16">
        <f t="shared" si="8"/>
        <v>0</v>
      </c>
      <c r="S26" s="10"/>
      <c r="T26" s="40">
        <f t="shared" si="9"/>
        <v>0.9</v>
      </c>
      <c r="U26" s="8"/>
    </row>
    <row r="27" spans="1:21" x14ac:dyDescent="0.25">
      <c r="A27" s="503"/>
      <c r="B27" s="504" t="s">
        <v>13</v>
      </c>
      <c r="C27" s="504"/>
      <c r="D27" s="504"/>
      <c r="E27" s="504"/>
      <c r="F27" s="504"/>
      <c r="G27" s="8"/>
      <c r="H27" s="46" t="e">
        <f>H24+H25+H26</f>
        <v>#REF!</v>
      </c>
      <c r="I27" s="10"/>
      <c r="J27" s="46" t="e">
        <f>SUM(J24:J26)</f>
        <v>#REF!</v>
      </c>
      <c r="K27" s="10"/>
      <c r="L27" s="16" t="e">
        <f>J27/H27</f>
        <v>#REF!</v>
      </c>
      <c r="M27" s="10"/>
      <c r="N27" s="16">
        <f>$F$1</f>
        <v>1</v>
      </c>
      <c r="O27" s="8"/>
      <c r="P27" s="46" t="e">
        <f>SUM(P24:P26)</f>
        <v>#REF!</v>
      </c>
      <c r="Q27" s="10"/>
      <c r="R27" s="16">
        <f t="shared" si="8"/>
        <v>0</v>
      </c>
      <c r="S27" s="10"/>
      <c r="T27" s="40">
        <f t="shared" si="9"/>
        <v>0.9</v>
      </c>
      <c r="U27" s="8"/>
    </row>
    <row r="28" spans="1:21" x14ac:dyDescent="0.25">
      <c r="H28"/>
      <c r="J28"/>
      <c r="P28"/>
    </row>
    <row r="29" spans="1:21" ht="15.75" x14ac:dyDescent="0.25">
      <c r="A29" s="502" t="s">
        <v>18</v>
      </c>
      <c r="B29" s="504" t="s">
        <v>10</v>
      </c>
      <c r="C29" s="504"/>
      <c r="D29" s="504"/>
      <c r="E29" s="504"/>
      <c r="F29" s="504"/>
      <c r="G29" s="15"/>
      <c r="H29" s="46" t="e">
        <f>COUNTIFS(tbl_cleaning[Housing Team],"ATB6",#REF!,"&lt;&gt;NV")</f>
        <v>#REF!</v>
      </c>
      <c r="I29" s="10"/>
      <c r="J29" s="46" t="e">
        <f>SUM(COUNTIFS(tbl_cleaning[Housing Team],"ATB6",#REF!,{"1","2","3","4"}))</f>
        <v>#REF!</v>
      </c>
      <c r="K29" s="10"/>
      <c r="L29" s="16" t="e">
        <f>J29/H29</f>
        <v>#REF!</v>
      </c>
      <c r="M29" s="10"/>
      <c r="N29" s="16">
        <f>$F$1</f>
        <v>1</v>
      </c>
      <c r="O29" s="8"/>
      <c r="P29" s="46" t="e">
        <f>COUNTIFS(tbl_cleaning[Housing Team],"ATB6",#REF!,3)+COUNTIFS(tbl_cleaning[Housing Team],"ATB6",#REF!,4)</f>
        <v>#REF!</v>
      </c>
      <c r="Q29" s="10"/>
      <c r="R29" s="16">
        <f t="shared" ref="R29:R32" si="10">IFERROR(P29/J29,0)</f>
        <v>0</v>
      </c>
      <c r="S29" s="10"/>
      <c r="T29" s="40">
        <f t="shared" ref="T29:T32" si="11">$Q$1</f>
        <v>0.9</v>
      </c>
      <c r="U29" s="8"/>
    </row>
    <row r="30" spans="1:21" ht="15.75" x14ac:dyDescent="0.25">
      <c r="A30" s="502"/>
      <c r="B30" s="504" t="s">
        <v>11</v>
      </c>
      <c r="C30" s="504"/>
      <c r="D30" s="504"/>
      <c r="E30" s="504"/>
      <c r="F30" s="504"/>
      <c r="G30" s="15"/>
      <c r="H30" s="46" t="e">
        <f>COUNTIFS(tbl_cleaning[Housing Team],"ATB6",#REF!,"&lt;&gt;NV")</f>
        <v>#REF!</v>
      </c>
      <c r="I30" s="10"/>
      <c r="J30" s="46" t="e">
        <f>SUM(COUNTIFS(tbl_cleaning[Housing Team],"ATB6",#REF!,{"1","2","3","4"}))</f>
        <v>#REF!</v>
      </c>
      <c r="K30" s="10"/>
      <c r="L30" s="16" t="e">
        <f>J30/H30</f>
        <v>#REF!</v>
      </c>
      <c r="M30" s="10"/>
      <c r="N30" s="16">
        <f>$F$1</f>
        <v>1</v>
      </c>
      <c r="O30" s="8"/>
      <c r="P30" s="46" t="e">
        <f>COUNTIFS(tbl_cleaning[Housing Team],"ATB6",#REF!,3)+COUNTIFS(tbl_cleaning[Housing Team],"ATB6",#REF!,4)</f>
        <v>#REF!</v>
      </c>
      <c r="Q30" s="10"/>
      <c r="R30" s="16">
        <f t="shared" si="10"/>
        <v>0</v>
      </c>
      <c r="S30" s="10"/>
      <c r="T30" s="40">
        <f t="shared" si="11"/>
        <v>0.9</v>
      </c>
      <c r="U30" s="8"/>
    </row>
    <row r="31" spans="1:21" ht="15.75" x14ac:dyDescent="0.25">
      <c r="A31" s="502"/>
      <c r="B31" s="504" t="s">
        <v>12</v>
      </c>
      <c r="C31" s="504"/>
      <c r="D31" s="504"/>
      <c r="E31" s="504"/>
      <c r="F31" s="504"/>
      <c r="G31" s="15"/>
      <c r="H31" s="46" t="e">
        <f>(COUNTIFS(#REF!,"ATB6",#REF!,"&lt;&gt;NV"))</f>
        <v>#REF!</v>
      </c>
      <c r="I31" s="10"/>
      <c r="J31" s="46" t="e">
        <f t="array" ref="J31">SUM(COUNTIFS(#REF!,"ATB6",#REF!,{"1","2","3","4"}))</f>
        <v>#REF!</v>
      </c>
      <c r="K31" s="10"/>
      <c r="L31" s="16" t="e">
        <f>J31/H31</f>
        <v>#REF!</v>
      </c>
      <c r="M31" s="10"/>
      <c r="N31" s="16">
        <f>$F$1</f>
        <v>1</v>
      </c>
      <c r="O31" s="8"/>
      <c r="P31" s="46" t="e">
        <f>COUNTIFS(#REF!,"ATB6",#REF!,3)+COUNTIFS(#REF!,"ATB6",#REF!,4)</f>
        <v>#REF!</v>
      </c>
      <c r="Q31" s="10"/>
      <c r="R31" s="16">
        <f t="shared" si="10"/>
        <v>0</v>
      </c>
      <c r="S31" s="10"/>
      <c r="T31" s="40">
        <f t="shared" si="11"/>
        <v>0.9</v>
      </c>
      <c r="U31" s="8"/>
    </row>
    <row r="32" spans="1:21" x14ac:dyDescent="0.25">
      <c r="A32" s="503"/>
      <c r="B32" s="504" t="s">
        <v>13</v>
      </c>
      <c r="C32" s="504"/>
      <c r="D32" s="504"/>
      <c r="E32" s="504"/>
      <c r="F32" s="504"/>
      <c r="G32" s="8"/>
      <c r="H32" s="46" t="e">
        <f>H29+H30+H31</f>
        <v>#REF!</v>
      </c>
      <c r="I32" s="10"/>
      <c r="J32" s="46" t="e">
        <f>SUM(J29:J31)</f>
        <v>#REF!</v>
      </c>
      <c r="K32" s="10"/>
      <c r="L32" s="16" t="e">
        <f>J32/H32</f>
        <v>#REF!</v>
      </c>
      <c r="M32" s="10"/>
      <c r="N32" s="16">
        <f>$F$1</f>
        <v>1</v>
      </c>
      <c r="O32" s="8"/>
      <c r="P32" s="46" t="e">
        <f>SUM(P29:P31)</f>
        <v>#REF!</v>
      </c>
      <c r="Q32" s="10"/>
      <c r="R32" s="16">
        <f t="shared" si="10"/>
        <v>0</v>
      </c>
      <c r="S32" s="10"/>
      <c r="T32" s="40">
        <f t="shared" si="11"/>
        <v>0.9</v>
      </c>
      <c r="U32" s="8"/>
    </row>
    <row r="33" spans="1:21" x14ac:dyDescent="0.25">
      <c r="H33"/>
      <c r="J33"/>
      <c r="P33"/>
    </row>
    <row r="34" spans="1:21" ht="15.75" x14ac:dyDescent="0.25">
      <c r="A34" s="502" t="s">
        <v>19</v>
      </c>
      <c r="B34" s="504" t="s">
        <v>10</v>
      </c>
      <c r="C34" s="504"/>
      <c r="D34" s="504"/>
      <c r="E34" s="504"/>
      <c r="F34" s="504"/>
      <c r="G34" s="15"/>
      <c r="H34" s="46" t="e">
        <f>COUNTIFS(tbl_cleaning[Housing Team],"ATB7",#REF!,"&lt;&gt;NV")</f>
        <v>#REF!</v>
      </c>
      <c r="I34" s="10"/>
      <c r="J34" s="46" t="e">
        <f>SUM(COUNTIFS(tbl_cleaning[Housing Team],"ATB7",#REF!,{"1","2","3","4"}))</f>
        <v>#REF!</v>
      </c>
      <c r="K34" s="10"/>
      <c r="L34" s="16" t="e">
        <f>J34/H34</f>
        <v>#REF!</v>
      </c>
      <c r="M34" s="10"/>
      <c r="N34" s="16">
        <f>$F$1</f>
        <v>1</v>
      </c>
      <c r="O34" s="8"/>
      <c r="P34" s="46" t="e">
        <f>COUNTIFS(tbl_cleaning[Housing Team],"ATB7",#REF!,3)+COUNTIFS(tbl_cleaning[Housing Team],"ATB7",#REF!,4)</f>
        <v>#REF!</v>
      </c>
      <c r="Q34" s="10"/>
      <c r="R34" s="16">
        <f t="shared" ref="R34:R37" si="12">IFERROR(P34/J34,0)</f>
        <v>0</v>
      </c>
      <c r="S34" s="10"/>
      <c r="T34" s="40">
        <f t="shared" ref="T34:T37" si="13">$Q$1</f>
        <v>0.9</v>
      </c>
      <c r="U34" s="8"/>
    </row>
    <row r="35" spans="1:21" ht="15.75" x14ac:dyDescent="0.25">
      <c r="A35" s="502"/>
      <c r="B35" s="504" t="s">
        <v>11</v>
      </c>
      <c r="C35" s="504"/>
      <c r="D35" s="504"/>
      <c r="E35" s="504"/>
      <c r="F35" s="504"/>
      <c r="G35" s="15"/>
      <c r="H35" s="46" t="e">
        <f>COUNTIFS(tbl_cleaning[Housing Team],"ATB7",#REF!,"&lt;&gt;NV")</f>
        <v>#REF!</v>
      </c>
      <c r="I35" s="10"/>
      <c r="J35" s="46" t="e">
        <f>SUM(COUNTIFS(tbl_cleaning[Housing Team],"ATB7",#REF!,{"1","2","3","4"}))</f>
        <v>#REF!</v>
      </c>
      <c r="K35" s="10"/>
      <c r="L35" s="16" t="e">
        <f>J35/H35</f>
        <v>#REF!</v>
      </c>
      <c r="M35" s="10"/>
      <c r="N35" s="16">
        <f t="shared" ref="N35:N37" si="14">$F$1</f>
        <v>1</v>
      </c>
      <c r="O35" s="8"/>
      <c r="P35" s="46" t="e">
        <f>COUNTIFS(tbl_cleaning[Housing Team],"ATB7",#REF!,3)+COUNTIFS(tbl_cleaning[Housing Team],"ATB7",#REF!,4)</f>
        <v>#REF!</v>
      </c>
      <c r="Q35" s="10"/>
      <c r="R35" s="16">
        <f t="shared" si="12"/>
        <v>0</v>
      </c>
      <c r="S35" s="10"/>
      <c r="T35" s="40">
        <f t="shared" si="13"/>
        <v>0.9</v>
      </c>
      <c r="U35" s="8"/>
    </row>
    <row r="36" spans="1:21" ht="15.75" x14ac:dyDescent="0.25">
      <c r="A36" s="502"/>
      <c r="B36" s="504" t="s">
        <v>12</v>
      </c>
      <c r="C36" s="504"/>
      <c r="D36" s="504"/>
      <c r="E36" s="504"/>
      <c r="F36" s="504"/>
      <c r="G36" s="15"/>
      <c r="H36" s="46" t="e">
        <f>(COUNTIFS(#REF!,"ATB7",#REF!,"&lt;&gt;NV"))</f>
        <v>#REF!</v>
      </c>
      <c r="I36" s="10"/>
      <c r="J36" s="46" t="e">
        <f t="array" ref="J36">SUM(COUNTIFS(#REF!,"ATB7",#REF!,{"1","2","3","4"}))</f>
        <v>#REF!</v>
      </c>
      <c r="K36" s="10"/>
      <c r="L36" s="16" t="e">
        <f>J36/H36</f>
        <v>#REF!</v>
      </c>
      <c r="M36" s="10"/>
      <c r="N36" s="16">
        <f t="shared" si="14"/>
        <v>1</v>
      </c>
      <c r="O36" s="8"/>
      <c r="P36" s="46" t="e">
        <f>COUNTIFS(#REF!,"ATB7",#REF!,3)+COUNTIFS(#REF!,"ATB7",#REF!,4)</f>
        <v>#REF!</v>
      </c>
      <c r="Q36" s="10"/>
      <c r="R36" s="16">
        <f t="shared" si="12"/>
        <v>0</v>
      </c>
      <c r="S36" s="10"/>
      <c r="T36" s="40">
        <f t="shared" si="13"/>
        <v>0.9</v>
      </c>
      <c r="U36" s="8"/>
    </row>
    <row r="37" spans="1:21" x14ac:dyDescent="0.25">
      <c r="A37" s="503"/>
      <c r="B37" s="504" t="s">
        <v>13</v>
      </c>
      <c r="C37" s="504"/>
      <c r="D37" s="504"/>
      <c r="E37" s="504"/>
      <c r="F37" s="504"/>
      <c r="G37" s="8"/>
      <c r="H37" s="46" t="e">
        <f>H34+H35+H36</f>
        <v>#REF!</v>
      </c>
      <c r="I37" s="10"/>
      <c r="J37" s="46" t="e">
        <f>SUM(J34:J36)</f>
        <v>#REF!</v>
      </c>
      <c r="K37" s="10"/>
      <c r="L37" s="16" t="e">
        <f>J37/H37</f>
        <v>#REF!</v>
      </c>
      <c r="M37" s="10"/>
      <c r="N37" s="16">
        <f t="shared" si="14"/>
        <v>1</v>
      </c>
      <c r="O37" s="8"/>
      <c r="P37" s="46" t="e">
        <f>SUM(P34:P36)</f>
        <v>#REF!</v>
      </c>
      <c r="Q37" s="10"/>
      <c r="R37" s="16">
        <f t="shared" si="12"/>
        <v>0</v>
      </c>
      <c r="S37" s="10"/>
      <c r="T37" s="40">
        <f t="shared" si="13"/>
        <v>0.9</v>
      </c>
      <c r="U37" s="8"/>
    </row>
    <row r="38" spans="1:21" x14ac:dyDescent="0.25">
      <c r="H38"/>
      <c r="J38"/>
      <c r="P38"/>
    </row>
    <row r="39" spans="1:21" ht="15.75" x14ac:dyDescent="0.25">
      <c r="A39" s="502" t="s">
        <v>20</v>
      </c>
      <c r="B39" s="507" t="s">
        <v>10</v>
      </c>
      <c r="C39" s="508"/>
      <c r="D39" s="508"/>
      <c r="E39" s="508"/>
      <c r="F39" s="509"/>
      <c r="G39" s="15"/>
      <c r="H39" s="46" t="e">
        <f>COUNTIFS(tbl_cleaning[Housing Team],"ATB9",#REF!,"&lt;&gt;NV")</f>
        <v>#REF!</v>
      </c>
      <c r="I39" s="10"/>
      <c r="J39" s="46" t="e">
        <f>SUM(COUNTIFS(tbl_cleaning[Housing Team],"ATB9",#REF!,{"1","2","3","4"}))</f>
        <v>#REF!</v>
      </c>
      <c r="K39" s="10"/>
      <c r="L39" s="16" t="e">
        <f>J39/H39</f>
        <v>#REF!</v>
      </c>
      <c r="M39" s="10"/>
      <c r="N39" s="16">
        <f t="shared" ref="N39:N42" si="15">$F$1</f>
        <v>1</v>
      </c>
      <c r="O39" s="8"/>
      <c r="P39" s="46" t="e">
        <f>COUNTIFS(tbl_cleaning[Housing Team],"ATB9",#REF!,3)+COUNTIFS(tbl_cleaning[Housing Team],"ATB9",#REF!,4)</f>
        <v>#REF!</v>
      </c>
      <c r="Q39" s="10"/>
      <c r="R39" s="16">
        <f t="shared" ref="R39:R42" si="16">IFERROR(P39/J39,0)</f>
        <v>0</v>
      </c>
      <c r="S39" s="10"/>
      <c r="T39" s="40">
        <f t="shared" ref="T39:T42" si="17">$Q$1</f>
        <v>0.9</v>
      </c>
      <c r="U39" s="8"/>
    </row>
    <row r="40" spans="1:21" ht="15.75" x14ac:dyDescent="0.25">
      <c r="A40" s="502"/>
      <c r="B40" s="507" t="s">
        <v>11</v>
      </c>
      <c r="C40" s="508"/>
      <c r="D40" s="508"/>
      <c r="E40" s="508"/>
      <c r="F40" s="509"/>
      <c r="G40" s="15"/>
      <c r="H40" s="46" t="e">
        <f>COUNTIFS(tbl_cleaning[Housing Team],"ATB9",#REF!,"&lt;&gt;NV")</f>
        <v>#REF!</v>
      </c>
      <c r="I40" s="10"/>
      <c r="J40" s="46" t="e">
        <f>SUM(COUNTIFS(tbl_cleaning[Housing Team],"ATB9",#REF!,{"1","2","3","4"}))</f>
        <v>#REF!</v>
      </c>
      <c r="K40" s="10"/>
      <c r="L40" s="16" t="e">
        <f>J40/H40</f>
        <v>#REF!</v>
      </c>
      <c r="M40" s="10"/>
      <c r="N40" s="16">
        <f t="shared" si="15"/>
        <v>1</v>
      </c>
      <c r="O40" s="8"/>
      <c r="P40" s="46" t="e">
        <f>COUNTIFS(tbl_cleaning[Housing Team],"ATB9",#REF!,3)+COUNTIFS(tbl_cleaning[Housing Team],"ATB9",#REF!,4)</f>
        <v>#REF!</v>
      </c>
      <c r="Q40" s="10"/>
      <c r="R40" s="16">
        <f t="shared" si="16"/>
        <v>0</v>
      </c>
      <c r="S40" s="10"/>
      <c r="T40" s="40">
        <f t="shared" si="17"/>
        <v>0.9</v>
      </c>
      <c r="U40" s="8"/>
    </row>
    <row r="41" spans="1:21" ht="15.75" x14ac:dyDescent="0.25">
      <c r="A41" s="502"/>
      <c r="B41" s="507" t="s">
        <v>12</v>
      </c>
      <c r="C41" s="508"/>
      <c r="D41" s="508"/>
      <c r="E41" s="508"/>
      <c r="F41" s="509"/>
      <c r="G41" s="15"/>
      <c r="H41" s="46" t="e">
        <f>(COUNTIFS(#REF!,"ATB9",#REF!,"&lt;&gt;NV"))</f>
        <v>#REF!</v>
      </c>
      <c r="I41" s="10"/>
      <c r="J41" s="46" t="e">
        <f t="array" ref="J41">SUM(COUNTIFS(#REF!,"ATB9",#REF!,{"1","2","3","4"}))</f>
        <v>#REF!</v>
      </c>
      <c r="K41" s="10"/>
      <c r="L41" s="16" t="e">
        <f>J41/H41</f>
        <v>#REF!</v>
      </c>
      <c r="M41" s="10"/>
      <c r="N41" s="16">
        <f t="shared" si="15"/>
        <v>1</v>
      </c>
      <c r="O41" s="8"/>
      <c r="P41" s="46" t="e">
        <f>COUNTIFS(#REF!,"ATB9",#REF!,3)+COUNTIFS(#REF!,"ATB9",#REF!,4)</f>
        <v>#REF!</v>
      </c>
      <c r="Q41" s="10"/>
      <c r="R41" s="16">
        <f t="shared" si="16"/>
        <v>0</v>
      </c>
      <c r="S41" s="10"/>
      <c r="T41" s="40">
        <f t="shared" si="17"/>
        <v>0.9</v>
      </c>
      <c r="U41" s="8"/>
    </row>
    <row r="42" spans="1:21" x14ac:dyDescent="0.25">
      <c r="A42" s="502"/>
      <c r="B42" s="507" t="s">
        <v>13</v>
      </c>
      <c r="C42" s="508"/>
      <c r="D42" s="508"/>
      <c r="E42" s="508"/>
      <c r="F42" s="509"/>
      <c r="G42" s="8"/>
      <c r="H42" s="46" t="e">
        <f>H39+H40+H41</f>
        <v>#REF!</v>
      </c>
      <c r="I42" s="10"/>
      <c r="J42" s="46" t="e">
        <f>SUM(J39:J41)</f>
        <v>#REF!</v>
      </c>
      <c r="K42" s="10"/>
      <c r="L42" s="16" t="e">
        <f>J42/H42</f>
        <v>#REF!</v>
      </c>
      <c r="M42" s="10"/>
      <c r="N42" s="16">
        <f t="shared" si="15"/>
        <v>1</v>
      </c>
      <c r="O42" s="8"/>
      <c r="P42" s="46" t="e">
        <f>SUM(P39:P41)</f>
        <v>#REF!</v>
      </c>
      <c r="Q42" s="10"/>
      <c r="R42" s="16">
        <f t="shared" si="16"/>
        <v>0</v>
      </c>
      <c r="S42" s="10"/>
      <c r="T42" s="40">
        <f t="shared" si="17"/>
        <v>0.9</v>
      </c>
      <c r="U42" s="8"/>
    </row>
    <row r="43" spans="1:21" x14ac:dyDescent="0.25">
      <c r="H43"/>
      <c r="J43"/>
      <c r="P43"/>
    </row>
    <row r="44" spans="1:21" ht="15.75" x14ac:dyDescent="0.25">
      <c r="A44" s="505" t="s">
        <v>21</v>
      </c>
      <c r="B44" s="504" t="s">
        <v>10</v>
      </c>
      <c r="C44" s="504"/>
      <c r="D44" s="504"/>
      <c r="E44" s="504"/>
      <c r="F44" s="504"/>
      <c r="G44" s="15"/>
      <c r="H44" s="46" t="e">
        <f>COUNTIFS(tbl_cleaning[Housing Team],"ATB10",#REF!,"&lt;&gt;NV")</f>
        <v>#REF!</v>
      </c>
      <c r="I44" s="10"/>
      <c r="J44" s="46" t="e">
        <f>SUM(COUNTIFS(tbl_cleaning[Housing Team],"ATB10",#REF!,{"1","2","3","4"}))</f>
        <v>#REF!</v>
      </c>
      <c r="K44" s="10"/>
      <c r="L44" s="16" t="e">
        <f>J44/H44</f>
        <v>#REF!</v>
      </c>
      <c r="M44" s="10"/>
      <c r="N44" s="16">
        <f>$F$1</f>
        <v>1</v>
      </c>
      <c r="O44" s="8"/>
      <c r="P44" s="46" t="e">
        <f>COUNTIFS(tbl_cleaning[Housing Team],"ATB10",#REF!,3)+COUNTIFS(tbl_cleaning[Housing Team],"ATB10",#REF!,4)</f>
        <v>#REF!</v>
      </c>
      <c r="Q44" s="10"/>
      <c r="R44" s="16">
        <f t="shared" ref="R44:R47" si="18">IFERROR(P44/J44,0)</f>
        <v>0</v>
      </c>
      <c r="S44" s="10"/>
      <c r="T44" s="40">
        <f t="shared" ref="T44:T47" si="19">$Q$1</f>
        <v>0.9</v>
      </c>
      <c r="U44" s="8"/>
    </row>
    <row r="45" spans="1:21" ht="15.75" x14ac:dyDescent="0.25">
      <c r="A45" s="505"/>
      <c r="B45" s="504" t="s">
        <v>11</v>
      </c>
      <c r="C45" s="504"/>
      <c r="D45" s="504"/>
      <c r="E45" s="504"/>
      <c r="F45" s="504"/>
      <c r="G45" s="15"/>
      <c r="H45" s="46" t="e">
        <f>COUNTIFS(tbl_cleaning[Housing Team],"ATB10",#REF!,"&lt;&gt;NV")</f>
        <v>#REF!</v>
      </c>
      <c r="I45" s="10"/>
      <c r="J45" s="46" t="e">
        <f>SUM(COUNTIFS(tbl_cleaning[Housing Team],"ATB10",#REF!,{"1","2","3","4"}))</f>
        <v>#REF!</v>
      </c>
      <c r="K45" s="10"/>
      <c r="L45" s="16" t="e">
        <f>J45/H45</f>
        <v>#REF!</v>
      </c>
      <c r="M45" s="10"/>
      <c r="N45" s="16">
        <f>$F$1</f>
        <v>1</v>
      </c>
      <c r="O45" s="8"/>
      <c r="P45" s="46" t="e">
        <f>COUNTIFS(tbl_cleaning[Housing Team],"ATB10",#REF!,3)+COUNTIFS(tbl_cleaning[Housing Team],"ATB10",#REF!,4)</f>
        <v>#REF!</v>
      </c>
      <c r="Q45" s="10"/>
      <c r="R45" s="16">
        <f t="shared" si="18"/>
        <v>0</v>
      </c>
      <c r="S45" s="10"/>
      <c r="T45" s="40">
        <f t="shared" si="19"/>
        <v>0.9</v>
      </c>
      <c r="U45" s="8"/>
    </row>
    <row r="46" spans="1:21" ht="15.75" x14ac:dyDescent="0.25">
      <c r="A46" s="505"/>
      <c r="B46" s="504" t="s">
        <v>12</v>
      </c>
      <c r="C46" s="504"/>
      <c r="D46" s="504"/>
      <c r="E46" s="504"/>
      <c r="F46" s="504"/>
      <c r="G46" s="15"/>
      <c r="H46" s="46" t="e">
        <f>(COUNTIFS(#REF!,"ATB10",#REF!,"&lt;&gt;NV"))</f>
        <v>#REF!</v>
      </c>
      <c r="I46" s="10"/>
      <c r="J46" s="46" t="e">
        <f t="array" ref="J46">SUM(COUNTIFS(#REF!,"ATB10",#REF!,{"1","2","3","4"}))</f>
        <v>#REF!</v>
      </c>
      <c r="K46" s="10"/>
      <c r="L46" s="16" t="e">
        <f>J46/H46</f>
        <v>#REF!</v>
      </c>
      <c r="M46" s="10"/>
      <c r="N46" s="16">
        <f>$F$1</f>
        <v>1</v>
      </c>
      <c r="O46" s="8"/>
      <c r="P46" s="46" t="e">
        <f>COUNTIFS(#REF!,"ATB10",#REF!,3)+COUNTIFS(#REF!,"ATB10",#REF!,4)</f>
        <v>#REF!</v>
      </c>
      <c r="Q46" s="10"/>
      <c r="R46" s="16">
        <f t="shared" si="18"/>
        <v>0</v>
      </c>
      <c r="S46" s="10"/>
      <c r="T46" s="40">
        <f t="shared" si="19"/>
        <v>0.9</v>
      </c>
      <c r="U46" s="8"/>
    </row>
    <row r="47" spans="1:21" x14ac:dyDescent="0.25">
      <c r="A47" s="506"/>
      <c r="B47" s="504" t="s">
        <v>13</v>
      </c>
      <c r="C47" s="504"/>
      <c r="D47" s="504"/>
      <c r="E47" s="504"/>
      <c r="F47" s="504"/>
      <c r="G47" s="8"/>
      <c r="H47" s="46" t="e">
        <f>H44+H45+H46</f>
        <v>#REF!</v>
      </c>
      <c r="I47" s="10"/>
      <c r="J47" s="46" t="e">
        <f>SUM(J44:J46)</f>
        <v>#REF!</v>
      </c>
      <c r="K47" s="10"/>
      <c r="L47" s="16" t="e">
        <f>J47/H47</f>
        <v>#REF!</v>
      </c>
      <c r="M47" s="10"/>
      <c r="N47" s="16">
        <f>$F$1</f>
        <v>1</v>
      </c>
      <c r="O47" s="8"/>
      <c r="P47" s="46" t="e">
        <f>SUM(P44:P46)</f>
        <v>#REF!</v>
      </c>
      <c r="Q47" s="10"/>
      <c r="R47" s="16">
        <f t="shared" si="18"/>
        <v>0</v>
      </c>
      <c r="S47" s="10"/>
      <c r="T47" s="40">
        <f t="shared" si="19"/>
        <v>0.9</v>
      </c>
      <c r="U47" s="8"/>
    </row>
    <row r="48" spans="1:21" x14ac:dyDescent="0.25">
      <c r="H48"/>
      <c r="J48"/>
      <c r="P48"/>
    </row>
    <row r="49" spans="1:21" ht="15.75" customHeight="1" x14ac:dyDescent="0.25">
      <c r="A49" s="502" t="s">
        <v>22</v>
      </c>
      <c r="B49" s="504" t="s">
        <v>10</v>
      </c>
      <c r="C49" s="504"/>
      <c r="D49" s="504"/>
      <c r="E49" s="504"/>
      <c r="F49" s="504"/>
      <c r="G49" s="15"/>
      <c r="H49" s="46" t="e">
        <f>COUNTIFS(tbl_cleaning[Housing Team],"ATB13",#REF!,"&lt;&gt;NV")</f>
        <v>#REF!</v>
      </c>
      <c r="I49" s="10"/>
      <c r="J49" s="46" t="e">
        <f>SUM(COUNTIFS(tbl_cleaning[Housing Team],"ATB13",#REF!,{"1","2","3","4"}))</f>
        <v>#REF!</v>
      </c>
      <c r="K49" s="10"/>
      <c r="L49" s="16" t="e">
        <f>J49/H49</f>
        <v>#REF!</v>
      </c>
      <c r="M49" s="10"/>
      <c r="N49" s="16">
        <f>$F$1</f>
        <v>1</v>
      </c>
      <c r="O49" s="8"/>
      <c r="P49" s="46" t="e">
        <f>COUNTIFS(tbl_cleaning[Housing Team],"ATB13",#REF!,3)+COUNTIFS(tbl_cleaning[Housing Team],"ATB13",#REF!,4)</f>
        <v>#REF!</v>
      </c>
      <c r="Q49" s="10"/>
      <c r="R49" s="16">
        <f t="shared" ref="R49:R52" si="20">IFERROR(P49/J49,0)</f>
        <v>0</v>
      </c>
      <c r="S49" s="10"/>
      <c r="T49" s="40">
        <f t="shared" ref="T49:T52" si="21">$Q$1</f>
        <v>0.9</v>
      </c>
      <c r="U49" s="8"/>
    </row>
    <row r="50" spans="1:21" ht="15.75" x14ac:dyDescent="0.25">
      <c r="A50" s="502"/>
      <c r="B50" s="504" t="s">
        <v>11</v>
      </c>
      <c r="C50" s="504"/>
      <c r="D50" s="504"/>
      <c r="E50" s="504"/>
      <c r="F50" s="504"/>
      <c r="G50" s="15"/>
      <c r="H50" s="46" t="e">
        <f>COUNTIFS(tbl_cleaning[Housing Team],"ATB13",#REF!,"&lt;&gt;NV")</f>
        <v>#REF!</v>
      </c>
      <c r="I50" s="10"/>
      <c r="J50" s="46" t="e">
        <f>SUM(COUNTIFS(tbl_cleaning[Housing Team],"ATB13",#REF!,{"1","2","3","4"}))</f>
        <v>#REF!</v>
      </c>
      <c r="K50" s="10"/>
      <c r="L50" s="16" t="e">
        <f>J50/H50</f>
        <v>#REF!</v>
      </c>
      <c r="M50" s="10"/>
      <c r="N50" s="16">
        <f>$F$1</f>
        <v>1</v>
      </c>
      <c r="O50" s="8"/>
      <c r="P50" s="46" t="e">
        <f>COUNTIFS(tbl_cleaning[Housing Team],"ATB13",#REF!,3)+COUNTIFS(tbl_cleaning[Housing Team],"ATB13",#REF!,4)</f>
        <v>#REF!</v>
      </c>
      <c r="Q50" s="10"/>
      <c r="R50" s="16">
        <f t="shared" si="20"/>
        <v>0</v>
      </c>
      <c r="S50" s="10"/>
      <c r="T50" s="40">
        <f t="shared" si="21"/>
        <v>0.9</v>
      </c>
      <c r="U50" s="8"/>
    </row>
    <row r="51" spans="1:21" ht="15.75" x14ac:dyDescent="0.25">
      <c r="A51" s="502"/>
      <c r="B51" s="504" t="s">
        <v>12</v>
      </c>
      <c r="C51" s="504"/>
      <c r="D51" s="504"/>
      <c r="E51" s="504"/>
      <c r="F51" s="504"/>
      <c r="G51" s="15"/>
      <c r="H51" s="46" t="e">
        <f>(COUNTIFS(#REF!,"ATB13",#REF!,"&lt;&gt;NV"))</f>
        <v>#REF!</v>
      </c>
      <c r="I51" s="10"/>
      <c r="J51" s="46" t="e">
        <f t="array" ref="J51">SUM(COUNTIFS(#REF!,"ATB13",#REF!,{"1","2","3","4"}))</f>
        <v>#REF!</v>
      </c>
      <c r="K51" s="10"/>
      <c r="L51" s="16" t="e">
        <f>J51/H51</f>
        <v>#REF!</v>
      </c>
      <c r="M51" s="10"/>
      <c r="N51" s="16">
        <f>$F$1</f>
        <v>1</v>
      </c>
      <c r="O51" s="8"/>
      <c r="P51" s="46" t="e">
        <f>COUNTIFS(#REF!,"ATB13",#REF!,3)+COUNTIFS(#REF!,"ATB13",#REF!,4)</f>
        <v>#REF!</v>
      </c>
      <c r="Q51" s="10"/>
      <c r="R51" s="16">
        <f t="shared" si="20"/>
        <v>0</v>
      </c>
      <c r="S51" s="10"/>
      <c r="T51" s="40">
        <f t="shared" si="21"/>
        <v>0.9</v>
      </c>
      <c r="U51" s="8"/>
    </row>
    <row r="52" spans="1:21" x14ac:dyDescent="0.25">
      <c r="A52" s="503"/>
      <c r="B52" s="504" t="s">
        <v>13</v>
      </c>
      <c r="C52" s="504"/>
      <c r="D52" s="504"/>
      <c r="E52" s="504"/>
      <c r="F52" s="504"/>
      <c r="G52" s="8"/>
      <c r="H52" s="46" t="e">
        <f>H49+H50+H51</f>
        <v>#REF!</v>
      </c>
      <c r="I52" s="10"/>
      <c r="J52" s="46" t="e">
        <f>SUM(J49:J51)</f>
        <v>#REF!</v>
      </c>
      <c r="K52" s="10"/>
      <c r="L52" s="16" t="e">
        <f>J52/H52</f>
        <v>#REF!</v>
      </c>
      <c r="M52" s="10"/>
      <c r="N52" s="16">
        <f>$F$1</f>
        <v>1</v>
      </c>
      <c r="O52" s="8"/>
      <c r="P52" s="46" t="e">
        <f>SUM(P49:P51)</f>
        <v>#REF!</v>
      </c>
      <c r="Q52" s="10"/>
      <c r="R52" s="16">
        <f t="shared" si="20"/>
        <v>0</v>
      </c>
      <c r="S52" s="10"/>
      <c r="T52" s="40">
        <f t="shared" si="21"/>
        <v>0.9</v>
      </c>
      <c r="U52" s="8"/>
    </row>
    <row r="53" spans="1:21" ht="15.75" customHeight="1" x14ac:dyDescent="0.25">
      <c r="H53"/>
      <c r="J53"/>
      <c r="P53"/>
    </row>
    <row r="54" spans="1:21" ht="15.75" customHeight="1" x14ac:dyDescent="0.25">
      <c r="A54" s="505" t="s">
        <v>23</v>
      </c>
      <c r="B54" s="504" t="s">
        <v>10</v>
      </c>
      <c r="C54" s="504"/>
      <c r="D54" s="504"/>
      <c r="E54" s="504"/>
      <c r="F54" s="504"/>
      <c r="G54" s="15"/>
      <c r="H54" s="46" t="e">
        <f>COUNTIFS(tbl_cleaning[Housing Team],"ATB14",#REF!,"&lt;&gt;NV")</f>
        <v>#REF!</v>
      </c>
      <c r="I54" s="10"/>
      <c r="J54" s="46" t="e">
        <f>SUM(COUNTIFS(tbl_cleaning[Housing Team],"ATB14",#REF!,{"1","2","3","4"}))</f>
        <v>#REF!</v>
      </c>
      <c r="K54" s="10"/>
      <c r="L54" s="16" t="e">
        <f>J54/H54</f>
        <v>#REF!</v>
      </c>
      <c r="M54" s="10"/>
      <c r="N54" s="16">
        <f>$F$1</f>
        <v>1</v>
      </c>
      <c r="O54" s="8"/>
      <c r="P54" s="46" t="e">
        <f>COUNTIFS(tbl_cleaning[Housing Team],"ATB14",#REF!,3)+COUNTIFS(tbl_cleaning[Housing Team],"ATB14",#REF!,4)</f>
        <v>#REF!</v>
      </c>
      <c r="Q54" s="10"/>
      <c r="R54" s="16">
        <f t="shared" ref="R54:R57" si="22">IFERROR(P54/J54,0)</f>
        <v>0</v>
      </c>
      <c r="S54" s="10"/>
      <c r="T54" s="40">
        <f t="shared" ref="T54:T57" si="23">$Q$1</f>
        <v>0.9</v>
      </c>
      <c r="U54" s="8"/>
    </row>
    <row r="55" spans="1:21" ht="15.75" customHeight="1" x14ac:dyDescent="0.25">
      <c r="A55" s="505"/>
      <c r="B55" s="504" t="s">
        <v>11</v>
      </c>
      <c r="C55" s="504"/>
      <c r="D55" s="504"/>
      <c r="E55" s="504"/>
      <c r="F55" s="504"/>
      <c r="G55" s="15"/>
      <c r="H55" s="46" t="e">
        <f>COUNTIFS(tbl_cleaning[Housing Team],"ATB14",#REF!,"&lt;&gt;NV")</f>
        <v>#REF!</v>
      </c>
      <c r="I55" s="10"/>
      <c r="J55" s="46" t="e">
        <f>SUM(COUNTIFS(tbl_cleaning[Housing Team],"ATB14",#REF!,{"1","2","3","4"}))</f>
        <v>#REF!</v>
      </c>
      <c r="K55" s="10"/>
      <c r="L55" s="16" t="e">
        <f>J55/H55</f>
        <v>#REF!</v>
      </c>
      <c r="M55" s="10"/>
      <c r="N55" s="16">
        <f>$F$1</f>
        <v>1</v>
      </c>
      <c r="O55" s="8"/>
      <c r="P55" s="46" t="e">
        <f>COUNTIFS(tbl_cleaning[Housing Team],"ATB14",#REF!,3)+COUNTIFS(tbl_cleaning[Housing Team],"ATB14",#REF!,4)</f>
        <v>#REF!</v>
      </c>
      <c r="Q55" s="10"/>
      <c r="R55" s="16">
        <f t="shared" si="22"/>
        <v>0</v>
      </c>
      <c r="S55" s="10"/>
      <c r="T55" s="40">
        <f t="shared" si="23"/>
        <v>0.9</v>
      </c>
      <c r="U55" s="8"/>
    </row>
    <row r="56" spans="1:21" ht="15.75" customHeight="1" x14ac:dyDescent="0.25">
      <c r="A56" s="505"/>
      <c r="B56" s="504" t="s">
        <v>12</v>
      </c>
      <c r="C56" s="504"/>
      <c r="D56" s="504"/>
      <c r="E56" s="504"/>
      <c r="F56" s="504"/>
      <c r="G56" s="15"/>
      <c r="H56" s="46" t="e">
        <f>(COUNTIFS(#REF!,"ATB14",#REF!,"&lt;&gt;NV"))</f>
        <v>#REF!</v>
      </c>
      <c r="I56" s="10"/>
      <c r="J56" s="46" t="e">
        <f t="array" ref="J56">SUM(COUNTIFS(#REF!,"ATB14",#REF!,{"1","2","3","4"}))</f>
        <v>#REF!</v>
      </c>
      <c r="K56" s="10"/>
      <c r="L56" s="16" t="e">
        <f>J56/H56</f>
        <v>#REF!</v>
      </c>
      <c r="M56" s="10"/>
      <c r="N56" s="16">
        <f>$F$1</f>
        <v>1</v>
      </c>
      <c r="O56" s="8"/>
      <c r="P56" s="46" t="e">
        <f>COUNTIFS(#REF!,"ATB14",#REF!,3)+COUNTIFS(#REF!,"ATB14",#REF!,4)</f>
        <v>#REF!</v>
      </c>
      <c r="Q56" s="10"/>
      <c r="R56" s="16">
        <f t="shared" si="22"/>
        <v>0</v>
      </c>
      <c r="S56" s="10"/>
      <c r="T56" s="40">
        <f t="shared" si="23"/>
        <v>0.9</v>
      </c>
      <c r="U56" s="8"/>
    </row>
    <row r="57" spans="1:21" ht="15.75" customHeight="1" x14ac:dyDescent="0.25">
      <c r="A57" s="506"/>
      <c r="B57" s="504" t="s">
        <v>13</v>
      </c>
      <c r="C57" s="504"/>
      <c r="D57" s="504"/>
      <c r="E57" s="504"/>
      <c r="F57" s="504"/>
      <c r="G57" s="8"/>
      <c r="H57" s="46" t="e">
        <f>H54+H55+H56</f>
        <v>#REF!</v>
      </c>
      <c r="I57" s="10"/>
      <c r="J57" s="46" t="e">
        <f>SUM(J54:J56)</f>
        <v>#REF!</v>
      </c>
      <c r="K57" s="10"/>
      <c r="L57" s="16" t="e">
        <f>J57/H57</f>
        <v>#REF!</v>
      </c>
      <c r="M57" s="10"/>
      <c r="N57" s="16">
        <f>$F$1</f>
        <v>1</v>
      </c>
      <c r="O57" s="8"/>
      <c r="P57" s="46" t="e">
        <f>SUM(P54:P56)</f>
        <v>#REF!</v>
      </c>
      <c r="Q57" s="10"/>
      <c r="R57" s="16">
        <f t="shared" si="22"/>
        <v>0</v>
      </c>
      <c r="S57" s="10"/>
      <c r="T57" s="40">
        <f t="shared" si="23"/>
        <v>0.9</v>
      </c>
      <c r="U57" s="8"/>
    </row>
    <row r="58" spans="1:21" ht="15.75" customHeight="1" x14ac:dyDescent="0.25">
      <c r="H58"/>
      <c r="J58"/>
      <c r="P58"/>
    </row>
    <row r="59" spans="1:21" ht="15.75" customHeight="1" x14ac:dyDescent="0.25">
      <c r="A59" s="510" t="s">
        <v>24</v>
      </c>
      <c r="B59" s="504" t="s">
        <v>10</v>
      </c>
      <c r="C59" s="504"/>
      <c r="D59" s="504"/>
      <c r="E59" s="504"/>
      <c r="F59" s="504"/>
      <c r="H59" s="46" t="e">
        <f>COUNTIFS(tbl_cleaning[Housing Team],"ATB18",#REF!,"&lt;&gt;NV")</f>
        <v>#REF!</v>
      </c>
      <c r="I59" s="10"/>
      <c r="J59" s="46" t="e">
        <f>SUM(COUNTIFS(tbl_cleaning[Housing Team],"ATB18",#REF!,{"1","2","3","4"}))</f>
        <v>#REF!</v>
      </c>
      <c r="K59" s="10"/>
      <c r="L59" s="16" t="e">
        <f>J59/H59</f>
        <v>#REF!</v>
      </c>
      <c r="M59" s="10"/>
      <c r="N59" s="16">
        <f>$F$1</f>
        <v>1</v>
      </c>
      <c r="O59" s="8"/>
      <c r="P59" s="46" t="e">
        <f>COUNTIFS(tbl_cleaning[Housing Team],"ATB18",#REF!,3)+COUNTIFS(tbl_cleaning[Housing Team],"ATB18",#REF!,4)</f>
        <v>#REF!</v>
      </c>
      <c r="Q59" s="10"/>
      <c r="R59" s="16">
        <f t="shared" ref="R59:R62" si="24">IFERROR(P59/J59,0)</f>
        <v>0</v>
      </c>
      <c r="S59" s="10"/>
      <c r="T59" s="40">
        <f t="shared" ref="T59:T62" si="25">$Q$1</f>
        <v>0.9</v>
      </c>
    </row>
    <row r="60" spans="1:21" ht="15.75" customHeight="1" x14ac:dyDescent="0.25">
      <c r="A60" s="510"/>
      <c r="B60" s="504" t="s">
        <v>11</v>
      </c>
      <c r="C60" s="504"/>
      <c r="D60" s="504"/>
      <c r="E60" s="504"/>
      <c r="F60" s="504"/>
      <c r="H60" s="46" t="e">
        <f>COUNTIFS(tbl_cleaning[Housing Team],"ATB18",#REF!,"&lt;&gt;NV")</f>
        <v>#REF!</v>
      </c>
      <c r="I60" s="10"/>
      <c r="J60" s="46" t="e">
        <f>SUM(COUNTIFS(tbl_cleaning[Housing Team],"ATB18",#REF!,{"1","2","3","4"}))</f>
        <v>#REF!</v>
      </c>
      <c r="K60" s="10"/>
      <c r="L60" s="16" t="e">
        <f>J60/H60</f>
        <v>#REF!</v>
      </c>
      <c r="M60" s="10"/>
      <c r="N60" s="16">
        <f>$F$1</f>
        <v>1</v>
      </c>
      <c r="O60" s="8"/>
      <c r="P60" s="46" t="e">
        <f>COUNTIFS(tbl_cleaning[Housing Team],"ATB18",#REF!,3)+COUNTIFS(tbl_cleaning[Housing Team],"ATB18",#REF!,4)</f>
        <v>#REF!</v>
      </c>
      <c r="Q60" s="10"/>
      <c r="R60" s="16">
        <f t="shared" si="24"/>
        <v>0</v>
      </c>
      <c r="S60" s="10"/>
      <c r="T60" s="40">
        <f t="shared" si="25"/>
        <v>0.9</v>
      </c>
    </row>
    <row r="61" spans="1:21" ht="15.75" customHeight="1" x14ac:dyDescent="0.25">
      <c r="A61" s="510"/>
      <c r="B61" s="504" t="s">
        <v>12</v>
      </c>
      <c r="C61" s="504"/>
      <c r="D61" s="504"/>
      <c r="E61" s="504"/>
      <c r="F61" s="504"/>
      <c r="H61" s="46" t="e">
        <f>(COUNTIFS(#REF!,"ATB18",#REF!,"&lt;&gt;NV"))</f>
        <v>#REF!</v>
      </c>
      <c r="I61" s="10"/>
      <c r="J61" s="46" t="e">
        <f t="array" ref="J61">SUM(COUNTIFS(#REF!,"ATB18",#REF!,{"1","2","3","4"}))</f>
        <v>#REF!</v>
      </c>
      <c r="K61" s="10"/>
      <c r="L61" s="16" t="e">
        <f>J61/H61</f>
        <v>#REF!</v>
      </c>
      <c r="M61" s="10"/>
      <c r="N61" s="16">
        <f>$F$1</f>
        <v>1</v>
      </c>
      <c r="O61" s="8"/>
      <c r="P61" s="46" t="e">
        <f>COUNTIFS(#REF!,"ATB18",#REF!,3)+COUNTIFS(#REF!,"ATB18",#REF!,4)</f>
        <v>#REF!</v>
      </c>
      <c r="Q61" s="10"/>
      <c r="R61" s="16">
        <f t="shared" si="24"/>
        <v>0</v>
      </c>
      <c r="S61" s="10"/>
      <c r="T61" s="40">
        <f t="shared" si="25"/>
        <v>0.9</v>
      </c>
    </row>
    <row r="62" spans="1:21" ht="15.75" customHeight="1" x14ac:dyDescent="0.25">
      <c r="A62" s="511"/>
      <c r="B62" s="504" t="s">
        <v>13</v>
      </c>
      <c r="C62" s="504"/>
      <c r="D62" s="504"/>
      <c r="E62" s="504"/>
      <c r="F62" s="504"/>
      <c r="H62" s="46" t="e">
        <f>H59+H60+H61</f>
        <v>#REF!</v>
      </c>
      <c r="I62" s="10"/>
      <c r="J62" s="46" t="e">
        <f>SUM(J59:J61)</f>
        <v>#REF!</v>
      </c>
      <c r="K62" s="10"/>
      <c r="L62" s="16" t="e">
        <f>J62/H62</f>
        <v>#REF!</v>
      </c>
      <c r="M62" s="10"/>
      <c r="N62" s="16">
        <f>$F$1</f>
        <v>1</v>
      </c>
      <c r="O62" s="8"/>
      <c r="P62" s="46" t="e">
        <f>SUM(P59:P61)</f>
        <v>#REF!</v>
      </c>
      <c r="Q62" s="10"/>
      <c r="R62" s="16">
        <f t="shared" si="24"/>
        <v>0</v>
      </c>
      <c r="S62" s="10"/>
      <c r="T62" s="40">
        <f t="shared" si="25"/>
        <v>0.9</v>
      </c>
    </row>
    <row r="63" spans="1:21" ht="16.5" customHeight="1" x14ac:dyDescent="0.25">
      <c r="H63"/>
      <c r="J63"/>
      <c r="P63"/>
    </row>
    <row r="64" spans="1:21" ht="16.5" customHeight="1" x14ac:dyDescent="0.25">
      <c r="A64" s="510" t="s">
        <v>25</v>
      </c>
      <c r="B64" s="507" t="s">
        <v>10</v>
      </c>
      <c r="C64" s="508"/>
      <c r="D64" s="508"/>
      <c r="E64" s="508"/>
      <c r="F64" s="509"/>
      <c r="H64" s="46" t="e">
        <f>COUNTIFS(tbl_cleaning[Housing Team],"ATB19",#REF!,"&lt;&gt;NV")</f>
        <v>#REF!</v>
      </c>
      <c r="I64" s="10"/>
      <c r="J64" s="46" t="e">
        <f>SUM(COUNTIFS(tbl_cleaning[Housing Team],"ATB19",#REF!,{"1","2","3","4"}))</f>
        <v>#REF!</v>
      </c>
      <c r="K64" s="10"/>
      <c r="L64" s="16" t="e">
        <f>J64/H64</f>
        <v>#REF!</v>
      </c>
      <c r="M64" s="10"/>
      <c r="N64" s="16">
        <f>$F$1</f>
        <v>1</v>
      </c>
      <c r="O64" s="8"/>
      <c r="P64" s="46" t="e">
        <f>COUNTIFS(tbl_cleaning[Housing Team],"ATB19",#REF!,3)+COUNTIFS(tbl_cleaning[Housing Team],"ATB19",#REF!,4)</f>
        <v>#REF!</v>
      </c>
      <c r="Q64" s="10"/>
      <c r="R64" s="16">
        <f t="shared" ref="R64:R67" si="26">IFERROR(P64/J64,0)</f>
        <v>0</v>
      </c>
      <c r="S64" s="10"/>
      <c r="T64" s="40">
        <f t="shared" ref="T64:T67" si="27">$Q$1</f>
        <v>0.9</v>
      </c>
    </row>
    <row r="65" spans="1:21" ht="16.5" customHeight="1" x14ac:dyDescent="0.25">
      <c r="A65" s="510"/>
      <c r="B65" s="507" t="s">
        <v>11</v>
      </c>
      <c r="C65" s="508"/>
      <c r="D65" s="508"/>
      <c r="E65" s="508"/>
      <c r="F65" s="509"/>
      <c r="H65" s="46" t="e">
        <f>COUNTIFS(tbl_cleaning[Housing Team],"ATB19",#REF!,"&lt;&gt;NV")</f>
        <v>#REF!</v>
      </c>
      <c r="I65" s="10"/>
      <c r="J65" s="46" t="e">
        <f>SUM(COUNTIFS(tbl_cleaning[Housing Team],"ATB19",#REF!,{"1","2","3","4"}))</f>
        <v>#REF!</v>
      </c>
      <c r="K65" s="10"/>
      <c r="L65" s="16" t="e">
        <f>J65/H65</f>
        <v>#REF!</v>
      </c>
      <c r="M65" s="10"/>
      <c r="N65" s="16">
        <f>$F$1</f>
        <v>1</v>
      </c>
      <c r="O65" s="8"/>
      <c r="P65" s="46" t="e">
        <f>COUNTIFS(tbl_cleaning[Housing Team],"ATB19",#REF!,3)+COUNTIFS(tbl_cleaning[Housing Team],"ATB19",#REF!,4)</f>
        <v>#REF!</v>
      </c>
      <c r="Q65" s="10"/>
      <c r="R65" s="16">
        <f t="shared" si="26"/>
        <v>0</v>
      </c>
      <c r="S65" s="10"/>
      <c r="T65" s="40">
        <f t="shared" si="27"/>
        <v>0.9</v>
      </c>
    </row>
    <row r="66" spans="1:21" ht="15.75" customHeight="1" x14ac:dyDescent="0.25">
      <c r="A66" s="510"/>
      <c r="B66" s="507" t="s">
        <v>12</v>
      </c>
      <c r="C66" s="508"/>
      <c r="D66" s="508"/>
      <c r="E66" s="508"/>
      <c r="F66" s="509"/>
      <c r="H66" s="46" t="e">
        <f>(COUNTIFS(#REF!,"ATB19",#REF!,"&lt;&gt;NV"))</f>
        <v>#REF!</v>
      </c>
      <c r="I66" s="10"/>
      <c r="J66" s="46" t="e">
        <f t="array" ref="J66">SUM(COUNTIFS(#REF!,"ATB19",#REF!,{"1","2","3","4"}))</f>
        <v>#REF!</v>
      </c>
      <c r="K66" s="10"/>
      <c r="L66" s="16" t="e">
        <f>J66/H66</f>
        <v>#REF!</v>
      </c>
      <c r="M66" s="10"/>
      <c r="N66" s="16">
        <f>$F$1</f>
        <v>1</v>
      </c>
      <c r="O66" s="8"/>
      <c r="P66" s="46" t="e">
        <f>COUNTIFS(#REF!,"ATB19",#REF!,3)+COUNTIFS(#REF!,"ATB19",#REF!,4)</f>
        <v>#REF!</v>
      </c>
      <c r="Q66" s="10"/>
      <c r="R66" s="16">
        <f t="shared" si="26"/>
        <v>0</v>
      </c>
      <c r="S66" s="10"/>
      <c r="T66" s="40">
        <f t="shared" si="27"/>
        <v>0.9</v>
      </c>
    </row>
    <row r="67" spans="1:21" ht="15.75" customHeight="1" x14ac:dyDescent="0.25">
      <c r="A67" s="510"/>
      <c r="B67" s="507" t="s">
        <v>13</v>
      </c>
      <c r="C67" s="508"/>
      <c r="D67" s="508"/>
      <c r="E67" s="508"/>
      <c r="F67" s="509"/>
      <c r="H67" s="46" t="e">
        <f>H64+H65+H66</f>
        <v>#REF!</v>
      </c>
      <c r="I67" s="10"/>
      <c r="J67" s="46" t="e">
        <f>SUM(J64:J66)</f>
        <v>#REF!</v>
      </c>
      <c r="K67" s="10"/>
      <c r="L67" s="16" t="e">
        <f>J67/H67</f>
        <v>#REF!</v>
      </c>
      <c r="M67" s="10"/>
      <c r="N67" s="16">
        <f>$F$1</f>
        <v>1</v>
      </c>
      <c r="O67" s="8"/>
      <c r="P67" s="46" t="e">
        <f>SUM(P64:P66)</f>
        <v>#REF!</v>
      </c>
      <c r="Q67" s="10"/>
      <c r="R67" s="16">
        <f t="shared" si="26"/>
        <v>0</v>
      </c>
      <c r="S67" s="10"/>
      <c r="T67" s="40">
        <f t="shared" si="27"/>
        <v>0.9</v>
      </c>
    </row>
    <row r="68" spans="1:21" ht="15.75" customHeight="1" x14ac:dyDescent="0.25">
      <c r="H68"/>
      <c r="J68"/>
      <c r="P68"/>
    </row>
    <row r="69" spans="1:21" ht="15.75" customHeight="1" x14ac:dyDescent="0.25">
      <c r="A69" s="510" t="s">
        <v>26</v>
      </c>
      <c r="B69" s="507" t="s">
        <v>10</v>
      </c>
      <c r="C69" s="508"/>
      <c r="D69" s="508"/>
      <c r="E69" s="508"/>
      <c r="F69" s="509"/>
      <c r="H69" s="46" t="e">
        <f>COUNTIFS(tbl_cleaning[Housing Team],"East Team 1",#REF!,"&lt;&gt;NV")</f>
        <v>#REF!</v>
      </c>
      <c r="I69" s="10"/>
      <c r="J69" s="46" t="e">
        <f>SUM(COUNTIFS(tbl_cleaning[Housing Team],"East Team 1",#REF!,{"1","2","3","4"}))</f>
        <v>#REF!</v>
      </c>
      <c r="K69" s="10"/>
      <c r="L69" s="16" t="e">
        <f>J69/H69</f>
        <v>#REF!</v>
      </c>
      <c r="M69" s="10"/>
      <c r="N69" s="16">
        <f>$F$1</f>
        <v>1</v>
      </c>
      <c r="O69" s="8"/>
      <c r="P69" s="46" t="e">
        <f>COUNTIFS(tbl_cleaning[Housing Team],"East Team 1",#REF!,3)+COUNTIFS(tbl_cleaning[Housing Team],"East Team 1",#REF!,4)</f>
        <v>#REF!</v>
      </c>
      <c r="Q69" s="10"/>
      <c r="R69" s="16">
        <f t="shared" ref="R69:R72" si="28">IFERROR(P69/J69,0)</f>
        <v>0</v>
      </c>
      <c r="S69" s="10"/>
      <c r="T69" s="40">
        <f t="shared" ref="T69:T72" si="29">$Q$1</f>
        <v>0.9</v>
      </c>
      <c r="U69" s="8"/>
    </row>
    <row r="70" spans="1:21" ht="15.75" customHeight="1" x14ac:dyDescent="0.25">
      <c r="A70" s="510"/>
      <c r="B70" s="507" t="s">
        <v>11</v>
      </c>
      <c r="C70" s="508"/>
      <c r="D70" s="508"/>
      <c r="E70" s="508"/>
      <c r="F70" s="509"/>
      <c r="H70" s="46" t="e">
        <f>COUNTIFS(tbl_cleaning[Housing Team],"East Team 1",#REF!,"&lt;&gt;NV")</f>
        <v>#REF!</v>
      </c>
      <c r="I70" s="10"/>
      <c r="J70" s="46" t="e">
        <f>SUM(COUNTIFS(tbl_cleaning[Housing Team],"East Team 1",#REF!,{"1","2","3","4"}))</f>
        <v>#REF!</v>
      </c>
      <c r="K70" s="10"/>
      <c r="L70" s="16" t="e">
        <f>J70/H70</f>
        <v>#REF!</v>
      </c>
      <c r="M70" s="10"/>
      <c r="N70" s="16">
        <f>$F$1</f>
        <v>1</v>
      </c>
      <c r="O70" s="8"/>
      <c r="P70" s="46" t="e">
        <f>COUNTIFS(tbl_cleaning[Housing Team],"East Team 1",#REF!,3)+COUNTIFS(tbl_cleaning[Housing Team],"East Team 1",#REF!,4)</f>
        <v>#REF!</v>
      </c>
      <c r="Q70" s="10"/>
      <c r="R70" s="16">
        <f t="shared" si="28"/>
        <v>0</v>
      </c>
      <c r="S70" s="10"/>
      <c r="T70" s="40">
        <f t="shared" si="29"/>
        <v>0.9</v>
      </c>
      <c r="U70" s="8"/>
    </row>
    <row r="71" spans="1:21" ht="15.75" customHeight="1" x14ac:dyDescent="0.25">
      <c r="A71" s="510"/>
      <c r="B71" s="507" t="s">
        <v>12</v>
      </c>
      <c r="C71" s="508"/>
      <c r="D71" s="508"/>
      <c r="E71" s="508"/>
      <c r="F71" s="509"/>
      <c r="H71" s="46" t="e">
        <f>(COUNTIFS(#REF!,"East Team 1",#REF!,"&lt;&gt;NV"))</f>
        <v>#REF!</v>
      </c>
      <c r="I71" s="10"/>
      <c r="J71" s="46" t="e">
        <f t="array" ref="J71">SUM(COUNTIFS(#REF!,"East Team 1",#REF!,{"1","2","3","4"}))</f>
        <v>#REF!</v>
      </c>
      <c r="K71" s="10"/>
      <c r="L71" s="16" t="e">
        <f>J71/H71</f>
        <v>#REF!</v>
      </c>
      <c r="M71" s="10"/>
      <c r="N71" s="16">
        <f>$F$1</f>
        <v>1</v>
      </c>
      <c r="O71" s="8"/>
      <c r="P71" s="46" t="e">
        <f>COUNTIFS(#REF!,"East Team 1",#REF!,3)+COUNTIFS(#REF!,"East Team 1",#REF!,4)</f>
        <v>#REF!</v>
      </c>
      <c r="Q71" s="10"/>
      <c r="R71" s="16">
        <f t="shared" si="28"/>
        <v>0</v>
      </c>
      <c r="S71" s="10"/>
      <c r="T71" s="40">
        <f t="shared" si="29"/>
        <v>0.9</v>
      </c>
      <c r="U71" s="8"/>
    </row>
    <row r="72" spans="1:21" ht="15.75" customHeight="1" x14ac:dyDescent="0.25">
      <c r="A72" s="511"/>
      <c r="B72" s="504" t="s">
        <v>13</v>
      </c>
      <c r="C72" s="504"/>
      <c r="D72" s="504"/>
      <c r="E72" s="504"/>
      <c r="F72" s="504"/>
      <c r="H72" s="46" t="e">
        <f>H69+H70+H71</f>
        <v>#REF!</v>
      </c>
      <c r="I72" s="10"/>
      <c r="J72" s="46" t="e">
        <f>SUM(J69:J71)</f>
        <v>#REF!</v>
      </c>
      <c r="K72" s="10"/>
      <c r="L72" s="16" t="e">
        <f>J72/H72</f>
        <v>#REF!</v>
      </c>
      <c r="M72" s="10"/>
      <c r="N72" s="16">
        <f>$F$1</f>
        <v>1</v>
      </c>
      <c r="O72" s="8"/>
      <c r="P72" s="46" t="e">
        <f>SUM(P69:P71)</f>
        <v>#REF!</v>
      </c>
      <c r="Q72" s="10"/>
      <c r="R72" s="16">
        <f t="shared" si="28"/>
        <v>0</v>
      </c>
      <c r="S72" s="10"/>
      <c r="T72" s="40">
        <f t="shared" si="29"/>
        <v>0.9</v>
      </c>
      <c r="U72" s="8"/>
    </row>
    <row r="73" spans="1:21" ht="15.75" customHeight="1" x14ac:dyDescent="0.25">
      <c r="H73"/>
      <c r="J73"/>
      <c r="P73"/>
    </row>
    <row r="74" spans="1:21" ht="15.75" customHeight="1" x14ac:dyDescent="0.25">
      <c r="A74" s="510" t="s">
        <v>27</v>
      </c>
      <c r="B74" s="504" t="s">
        <v>10</v>
      </c>
      <c r="C74" s="504"/>
      <c r="D74" s="504"/>
      <c r="E74" s="504"/>
      <c r="F74" s="504"/>
      <c r="H74" s="46" t="e">
        <f>COUNTIFS(tbl_cleaning[Housing Team],"East Team 2",#REF!,"&lt;&gt;NV")</f>
        <v>#REF!</v>
      </c>
      <c r="I74" s="10"/>
      <c r="J74" s="46" t="e">
        <f>SUM(COUNTIFS(tbl_cleaning[Housing Team],"East Team 2",#REF!,{"1","2","3","4"}))</f>
        <v>#REF!</v>
      </c>
      <c r="K74" s="10"/>
      <c r="L74" s="16" t="e">
        <f>J74/H74</f>
        <v>#REF!</v>
      </c>
      <c r="M74" s="10"/>
      <c r="N74" s="16">
        <f>$F$1</f>
        <v>1</v>
      </c>
      <c r="O74" s="8"/>
      <c r="P74" s="46" t="e">
        <f>COUNTIFS(tbl_cleaning[Housing Team],"East Team 2",#REF!,3)+COUNTIFS(tbl_cleaning[Housing Team],"East Team 2",#REF!,4)</f>
        <v>#REF!</v>
      </c>
      <c r="Q74" s="10"/>
      <c r="R74" s="16">
        <f t="shared" ref="R74:R77" si="30">IFERROR(P74/J74,0)</f>
        <v>0</v>
      </c>
      <c r="S74" s="10"/>
      <c r="T74" s="40">
        <f t="shared" ref="T74:T77" si="31">$Q$1</f>
        <v>0.9</v>
      </c>
      <c r="U74" s="8"/>
    </row>
    <row r="75" spans="1:21" ht="15.75" customHeight="1" x14ac:dyDescent="0.25">
      <c r="A75" s="512"/>
      <c r="B75" s="504" t="s">
        <v>11</v>
      </c>
      <c r="C75" s="504"/>
      <c r="D75" s="504"/>
      <c r="E75" s="504"/>
      <c r="F75" s="504"/>
      <c r="H75" s="46" t="e">
        <f>COUNTIFS(tbl_cleaning[Housing Team],"East Team 2",#REF!,"&lt;&gt;NV")</f>
        <v>#REF!</v>
      </c>
      <c r="I75" s="10"/>
      <c r="J75" s="46" t="e">
        <f>SUM(COUNTIFS(tbl_cleaning[Housing Team],"East Team 2",#REF!,{"1","2","3","4"}))</f>
        <v>#REF!</v>
      </c>
      <c r="K75" s="10"/>
      <c r="L75" s="16" t="e">
        <f>J75/H75</f>
        <v>#REF!</v>
      </c>
      <c r="M75" s="10"/>
      <c r="N75" s="16">
        <f>$F$1</f>
        <v>1</v>
      </c>
      <c r="O75" s="8"/>
      <c r="P75" s="46" t="e">
        <f>COUNTIFS(tbl_cleaning[Housing Team],"East Team 2",#REF!,3)+COUNTIFS(tbl_cleaning[Housing Team],"East Team 2",#REF!,4)</f>
        <v>#REF!</v>
      </c>
      <c r="Q75" s="10"/>
      <c r="R75" s="16">
        <f t="shared" si="30"/>
        <v>0</v>
      </c>
      <c r="S75" s="10"/>
      <c r="T75" s="40">
        <f t="shared" si="31"/>
        <v>0.9</v>
      </c>
      <c r="U75" s="8"/>
    </row>
    <row r="76" spans="1:21" ht="15.75" customHeight="1" x14ac:dyDescent="0.25">
      <c r="A76" s="512"/>
      <c r="B76" s="504" t="s">
        <v>12</v>
      </c>
      <c r="C76" s="504"/>
      <c r="D76" s="504"/>
      <c r="E76" s="504"/>
      <c r="F76" s="504"/>
      <c r="H76" s="46" t="e">
        <f>(COUNTIFS(#REF!,"East Team 2",#REF!,"&lt;&gt;NV"))</f>
        <v>#REF!</v>
      </c>
      <c r="I76" s="10"/>
      <c r="J76" s="46" t="e">
        <f t="array" ref="J76">SUM(COUNTIFS(#REF!,"East Team 2",#REF!,{"1","2","3","4"}))</f>
        <v>#REF!</v>
      </c>
      <c r="K76" s="10"/>
      <c r="L76" s="16" t="e">
        <f>J76/H76</f>
        <v>#REF!</v>
      </c>
      <c r="M76" s="10"/>
      <c r="N76" s="16">
        <f>$F$1</f>
        <v>1</v>
      </c>
      <c r="O76" s="8"/>
      <c r="P76" s="46" t="e">
        <f>COUNTIFS(#REF!,"East Team 2",#REF!,3)+COUNTIFS(#REF!,"East Team 2",#REF!,4)</f>
        <v>#REF!</v>
      </c>
      <c r="Q76" s="10"/>
      <c r="R76" s="16">
        <f t="shared" si="30"/>
        <v>0</v>
      </c>
      <c r="S76" s="10"/>
      <c r="T76" s="40">
        <f t="shared" si="31"/>
        <v>0.9</v>
      </c>
      <c r="U76" s="8"/>
    </row>
    <row r="77" spans="1:21" ht="15.75" customHeight="1" x14ac:dyDescent="0.25">
      <c r="A77" s="513"/>
      <c r="B77" s="504" t="s">
        <v>13</v>
      </c>
      <c r="C77" s="504"/>
      <c r="D77" s="504"/>
      <c r="E77" s="504"/>
      <c r="F77" s="504"/>
      <c r="H77" s="46" t="e">
        <f>H74+H75+H76</f>
        <v>#REF!</v>
      </c>
      <c r="I77" s="10"/>
      <c r="J77" s="46" t="e">
        <f>SUM(J74:J76)</f>
        <v>#REF!</v>
      </c>
      <c r="K77" s="10"/>
      <c r="L77" s="16" t="e">
        <f>J77/H77</f>
        <v>#REF!</v>
      </c>
      <c r="M77" s="10"/>
      <c r="N77" s="16">
        <f>$F$1</f>
        <v>1</v>
      </c>
      <c r="O77" s="8"/>
      <c r="P77" s="46" t="e">
        <f>SUM(P74:P76)</f>
        <v>#REF!</v>
      </c>
      <c r="Q77" s="10"/>
      <c r="R77" s="16">
        <f t="shared" si="30"/>
        <v>0</v>
      </c>
      <c r="S77" s="10"/>
      <c r="T77" s="40">
        <f t="shared" si="31"/>
        <v>0.9</v>
      </c>
      <c r="U77" s="8"/>
    </row>
    <row r="78" spans="1:21" ht="15.75" customHeight="1" x14ac:dyDescent="0.25">
      <c r="H78"/>
      <c r="J78"/>
      <c r="P78"/>
    </row>
    <row r="79" spans="1:21" ht="15.75" customHeight="1" x14ac:dyDescent="0.25">
      <c r="A79" s="510" t="s">
        <v>28</v>
      </c>
      <c r="B79" s="504" t="s">
        <v>10</v>
      </c>
      <c r="C79" s="504"/>
      <c r="D79" s="504"/>
      <c r="E79" s="504"/>
      <c r="F79" s="504"/>
      <c r="H79" s="46" t="e">
        <f>COUNTIFS(tbl_cleaning[Housing Team],"East Team 3",#REF!,"&lt;&gt;NV")</f>
        <v>#REF!</v>
      </c>
      <c r="I79" s="10"/>
      <c r="J79" s="46" t="e">
        <f>SUM(COUNTIFS(tbl_cleaning[Housing Team],"East Team 3",#REF!,{"1","2","3","4"}))</f>
        <v>#REF!</v>
      </c>
      <c r="K79" s="10"/>
      <c r="L79" s="16" t="e">
        <f>J79/H79</f>
        <v>#REF!</v>
      </c>
      <c r="M79" s="10"/>
      <c r="N79" s="16">
        <f>$F$1</f>
        <v>1</v>
      </c>
      <c r="O79" s="8"/>
      <c r="P79" s="46" t="e">
        <f>COUNTIFS(tbl_cleaning[Housing Team],"East Team 3",#REF!,3)+COUNTIFS(tbl_cleaning[Housing Team],"East Team 3",#REF!,4)</f>
        <v>#REF!</v>
      </c>
      <c r="Q79" s="10"/>
      <c r="R79" s="16">
        <f t="shared" ref="R79:R82" si="32">IFERROR(P79/J79,0)</f>
        <v>0</v>
      </c>
      <c r="S79" s="10"/>
      <c r="T79" s="40">
        <f t="shared" ref="T79:T82" si="33">$Q$1</f>
        <v>0.9</v>
      </c>
      <c r="U79" s="8"/>
    </row>
    <row r="80" spans="1:21" ht="15.75" customHeight="1" x14ac:dyDescent="0.25">
      <c r="A80" s="512"/>
      <c r="B80" s="504" t="s">
        <v>11</v>
      </c>
      <c r="C80" s="504"/>
      <c r="D80" s="504"/>
      <c r="E80" s="504"/>
      <c r="F80" s="504"/>
      <c r="H80" s="46" t="e">
        <f>COUNTIFS(tbl_cleaning[Housing Team],"East Team 3",#REF!,"&lt;&gt;NV")</f>
        <v>#REF!</v>
      </c>
      <c r="I80" s="10"/>
      <c r="J80" s="46" t="e">
        <f>SUM(COUNTIFS(tbl_cleaning[Housing Team],"East Team 3",#REF!,{"1","2","3","4"}))</f>
        <v>#REF!</v>
      </c>
      <c r="K80" s="10"/>
      <c r="L80" s="16" t="e">
        <f>J80/H80</f>
        <v>#REF!</v>
      </c>
      <c r="M80" s="10"/>
      <c r="N80" s="16">
        <f>$F$1</f>
        <v>1</v>
      </c>
      <c r="O80" s="8"/>
      <c r="P80" s="46" t="e">
        <f>COUNTIFS(tbl_cleaning[Housing Team],"East Team 3",#REF!,3)+COUNTIFS(tbl_cleaning[Housing Team],"East Team 3",#REF!,4)</f>
        <v>#REF!</v>
      </c>
      <c r="Q80" s="10"/>
      <c r="R80" s="16">
        <f t="shared" si="32"/>
        <v>0</v>
      </c>
      <c r="S80" s="10"/>
      <c r="T80" s="40">
        <f t="shared" si="33"/>
        <v>0.9</v>
      </c>
      <c r="U80" s="8"/>
    </row>
    <row r="81" spans="1:21" ht="15.75" customHeight="1" x14ac:dyDescent="0.25">
      <c r="A81" s="512"/>
      <c r="B81" s="504" t="s">
        <v>12</v>
      </c>
      <c r="C81" s="504"/>
      <c r="D81" s="504"/>
      <c r="E81" s="504"/>
      <c r="F81" s="504"/>
      <c r="H81" s="46" t="e">
        <f>(COUNTIFS(#REF!,"East Team 3",#REF!,"&lt;&gt;NV"))</f>
        <v>#REF!</v>
      </c>
      <c r="I81" s="10"/>
      <c r="J81" s="46" t="e">
        <f t="array" ref="J81">SUM(COUNTIFS(#REF!,"East Team 3",#REF!,{"1","2","3","4"}))</f>
        <v>#REF!</v>
      </c>
      <c r="K81" s="10"/>
      <c r="L81" s="16" t="e">
        <f>J81/H81</f>
        <v>#REF!</v>
      </c>
      <c r="M81" s="10"/>
      <c r="N81" s="16">
        <f>$F$1</f>
        <v>1</v>
      </c>
      <c r="O81" s="8"/>
      <c r="P81" s="46" t="e">
        <f>COUNTIFS(#REF!,"East Team 3",#REF!,3)+COUNTIFS(#REF!,"East Team 3",#REF!,4)</f>
        <v>#REF!</v>
      </c>
      <c r="Q81" s="10"/>
      <c r="R81" s="16">
        <f t="shared" si="32"/>
        <v>0</v>
      </c>
      <c r="S81" s="10"/>
      <c r="T81" s="40">
        <f t="shared" si="33"/>
        <v>0.9</v>
      </c>
      <c r="U81" s="8"/>
    </row>
    <row r="82" spans="1:21" ht="15.75" customHeight="1" x14ac:dyDescent="0.25">
      <c r="A82" s="513"/>
      <c r="B82" s="504" t="s">
        <v>13</v>
      </c>
      <c r="C82" s="504"/>
      <c r="D82" s="504"/>
      <c r="E82" s="504"/>
      <c r="F82" s="504"/>
      <c r="H82" s="46" t="e">
        <f>H79+H80+H81</f>
        <v>#REF!</v>
      </c>
      <c r="I82" s="10"/>
      <c r="J82" s="46" t="e">
        <f>SUM(J79:J81)</f>
        <v>#REF!</v>
      </c>
      <c r="K82" s="10"/>
      <c r="L82" s="16" t="e">
        <f>J82/H82</f>
        <v>#REF!</v>
      </c>
      <c r="M82" s="10"/>
      <c r="N82" s="16">
        <f>$F$1</f>
        <v>1</v>
      </c>
      <c r="O82" s="8"/>
      <c r="P82" s="46" t="e">
        <f>SUM(P79:P81)</f>
        <v>#REF!</v>
      </c>
      <c r="Q82" s="10"/>
      <c r="R82" s="16">
        <f t="shared" si="32"/>
        <v>0</v>
      </c>
      <c r="S82" s="10"/>
      <c r="T82" s="40">
        <f t="shared" si="33"/>
        <v>0.9</v>
      </c>
      <c r="U82" s="8"/>
    </row>
    <row r="83" spans="1:21" ht="15.75" customHeight="1" x14ac:dyDescent="0.25">
      <c r="H83"/>
      <c r="J83"/>
      <c r="P83"/>
    </row>
    <row r="84" spans="1:21" ht="15.75" customHeight="1" x14ac:dyDescent="0.25">
      <c r="A84" s="510" t="s">
        <v>29</v>
      </c>
      <c r="B84" s="504" t="s">
        <v>10</v>
      </c>
      <c r="C84" s="504"/>
      <c r="D84" s="504"/>
      <c r="E84" s="504"/>
      <c r="F84" s="504"/>
      <c r="H84" s="46" t="e">
        <f>COUNTIFS(tbl_cleaning[Housing Team],"East Team 4",#REF!,"&lt;&gt;NV")</f>
        <v>#REF!</v>
      </c>
      <c r="I84" s="10"/>
      <c r="J84" s="46" t="e">
        <f>SUM(COUNTIFS(tbl_cleaning[Housing Team],"East Team 4",#REF!,{"1","2","3","4"}))</f>
        <v>#REF!</v>
      </c>
      <c r="K84" s="10"/>
      <c r="L84" s="16" t="e">
        <f>J84/H84</f>
        <v>#REF!</v>
      </c>
      <c r="M84" s="10"/>
      <c r="N84" s="16">
        <f>$F$1</f>
        <v>1</v>
      </c>
      <c r="O84" s="8"/>
      <c r="P84" s="46" t="e">
        <f>COUNTIFS(tbl_cleaning[Housing Team],"East Team 4",#REF!,3)+COUNTIFS(tbl_cleaning[Housing Team],"East Team 4",#REF!,4)</f>
        <v>#REF!</v>
      </c>
      <c r="Q84" s="10"/>
      <c r="R84" s="16">
        <f t="shared" ref="R84:R87" si="34">IFERROR(P84/J84,0)</f>
        <v>0</v>
      </c>
      <c r="S84" s="10"/>
      <c r="T84" s="40">
        <f t="shared" ref="T84:T87" si="35">$Q$1</f>
        <v>0.9</v>
      </c>
      <c r="U84" s="8"/>
    </row>
    <row r="85" spans="1:21" ht="15.75" customHeight="1" x14ac:dyDescent="0.25">
      <c r="A85" s="512"/>
      <c r="B85" s="504" t="s">
        <v>11</v>
      </c>
      <c r="C85" s="504"/>
      <c r="D85" s="504"/>
      <c r="E85" s="504"/>
      <c r="F85" s="504"/>
      <c r="H85" s="46" t="e">
        <f>COUNTIFS(tbl_cleaning[Housing Team],"East Team 4",#REF!,"&lt;&gt;NV")</f>
        <v>#REF!</v>
      </c>
      <c r="I85" s="10"/>
      <c r="J85" s="46" t="e">
        <f>SUM(COUNTIFS(tbl_cleaning[Housing Team],"East Team 4",#REF!,{"1","2","3","4"}))</f>
        <v>#REF!</v>
      </c>
      <c r="K85" s="10"/>
      <c r="L85" s="16" t="e">
        <f>J85/H85</f>
        <v>#REF!</v>
      </c>
      <c r="M85" s="10"/>
      <c r="N85" s="16">
        <f>$F$1</f>
        <v>1</v>
      </c>
      <c r="O85" s="8"/>
      <c r="P85" s="46" t="e">
        <f>COUNTIFS(tbl_cleaning[Housing Team],"East Team 4",#REF!,3)+COUNTIFS(tbl_cleaning[Housing Team],"East Team 4",#REF!,4)</f>
        <v>#REF!</v>
      </c>
      <c r="Q85" s="10"/>
      <c r="R85" s="16">
        <f t="shared" si="34"/>
        <v>0</v>
      </c>
      <c r="S85" s="10"/>
      <c r="T85" s="40">
        <f t="shared" si="35"/>
        <v>0.9</v>
      </c>
      <c r="U85" s="8"/>
    </row>
    <row r="86" spans="1:21" ht="15.75" customHeight="1" x14ac:dyDescent="0.25">
      <c r="A86" s="512"/>
      <c r="B86" s="504" t="s">
        <v>12</v>
      </c>
      <c r="C86" s="504"/>
      <c r="D86" s="504"/>
      <c r="E86" s="504"/>
      <c r="F86" s="504"/>
      <c r="H86" s="46" t="e">
        <f>(COUNTIFS(#REF!,"East Team 4",#REF!,"&lt;&gt;NV"))</f>
        <v>#REF!</v>
      </c>
      <c r="I86" s="10"/>
      <c r="J86" s="46" t="e">
        <f t="array" ref="J86">SUM(COUNTIFS(#REF!,"East Team 4",#REF!,{"1","2","3","4"}))</f>
        <v>#REF!</v>
      </c>
      <c r="K86" s="10"/>
      <c r="L86" s="16" t="e">
        <f>J86/H86</f>
        <v>#REF!</v>
      </c>
      <c r="M86" s="10"/>
      <c r="N86" s="16">
        <f>$F$1</f>
        <v>1</v>
      </c>
      <c r="O86" s="8"/>
      <c r="P86" s="46" t="e">
        <f>COUNTIFS(#REF!,"East Team 4",#REF!,3)+COUNTIFS(#REF!,"East Team 4",#REF!,4)</f>
        <v>#REF!</v>
      </c>
      <c r="Q86" s="10"/>
      <c r="R86" s="16">
        <f t="shared" si="34"/>
        <v>0</v>
      </c>
      <c r="S86" s="10"/>
      <c r="T86" s="40">
        <f t="shared" si="35"/>
        <v>0.9</v>
      </c>
      <c r="U86" s="8"/>
    </row>
    <row r="87" spans="1:21" ht="15.75" customHeight="1" x14ac:dyDescent="0.25">
      <c r="A87" s="513"/>
      <c r="B87" s="504" t="s">
        <v>13</v>
      </c>
      <c r="C87" s="504"/>
      <c r="D87" s="504"/>
      <c r="E87" s="504"/>
      <c r="F87" s="504"/>
      <c r="H87" s="46" t="e">
        <f>H84+H85+H86</f>
        <v>#REF!</v>
      </c>
      <c r="I87" s="10"/>
      <c r="J87" s="46" t="e">
        <f>SUM(J84:J86)</f>
        <v>#REF!</v>
      </c>
      <c r="K87" s="10"/>
      <c r="L87" s="16" t="e">
        <f>J87/H87</f>
        <v>#REF!</v>
      </c>
      <c r="M87" s="10"/>
      <c r="N87" s="16">
        <f>$F$1</f>
        <v>1</v>
      </c>
      <c r="O87" s="8"/>
      <c r="P87" s="46" t="e">
        <f>SUM(P84:P86)</f>
        <v>#REF!</v>
      </c>
      <c r="Q87" s="10"/>
      <c r="R87" s="16">
        <f t="shared" si="34"/>
        <v>0</v>
      </c>
      <c r="S87" s="10"/>
      <c r="T87" s="40">
        <f t="shared" si="35"/>
        <v>0.9</v>
      </c>
      <c r="U87" s="8"/>
    </row>
    <row r="88" spans="1:21" ht="15.75" customHeight="1" x14ac:dyDescent="0.25">
      <c r="H88"/>
      <c r="J88"/>
      <c r="P88"/>
    </row>
    <row r="89" spans="1:21" ht="15.75" customHeight="1" x14ac:dyDescent="0.25">
      <c r="A89" s="514" t="s">
        <v>30</v>
      </c>
      <c r="B89" s="504" t="s">
        <v>10</v>
      </c>
      <c r="C89" s="504"/>
      <c r="D89" s="504"/>
      <c r="E89" s="504"/>
      <c r="F89" s="504"/>
      <c r="H89" s="46" t="e">
        <f>COUNTIFS(tbl_cleaning[Housing Team],"North Team 1",#REF!,"&lt;&gt;NV")</f>
        <v>#REF!</v>
      </c>
      <c r="I89" s="10"/>
      <c r="J89" s="46" t="e">
        <f>SUM(COUNTIFS(tbl_cleaning[Housing Team],"North Team 1",#REF!,{"1","2","3","4"}))</f>
        <v>#REF!</v>
      </c>
      <c r="K89" s="10"/>
      <c r="L89" s="16" t="e">
        <f>J89/H89</f>
        <v>#REF!</v>
      </c>
      <c r="M89" s="10"/>
      <c r="N89" s="16">
        <f>$F$1</f>
        <v>1</v>
      </c>
      <c r="O89" s="8"/>
      <c r="P89" s="46" t="e">
        <f>COUNTIFS(tbl_cleaning[Housing Team],"North Team 1",#REF!,3)+COUNTIFS(tbl_cleaning[Housing Team],"North Team 1",#REF!,4)</f>
        <v>#REF!</v>
      </c>
      <c r="Q89" s="10"/>
      <c r="R89" s="16">
        <f t="shared" ref="R89:R92" si="36">IFERROR(P89/J89,0)</f>
        <v>0</v>
      </c>
      <c r="S89" s="10"/>
      <c r="T89" s="40">
        <f t="shared" ref="T89:T92" si="37">$Q$1</f>
        <v>0.9</v>
      </c>
      <c r="U89" s="8"/>
    </row>
    <row r="90" spans="1:21" ht="15.75" customHeight="1" x14ac:dyDescent="0.25">
      <c r="A90" s="515"/>
      <c r="B90" s="504" t="s">
        <v>11</v>
      </c>
      <c r="C90" s="504"/>
      <c r="D90" s="504"/>
      <c r="E90" s="504"/>
      <c r="F90" s="504"/>
      <c r="H90" s="46" t="e">
        <f>COUNTIFS(tbl_cleaning[Housing Team],"North Team 1",#REF!,"&lt;&gt;NV")</f>
        <v>#REF!</v>
      </c>
      <c r="I90" s="10"/>
      <c r="J90" s="46" t="e">
        <f>SUM(COUNTIFS(tbl_cleaning[Housing Team],"North Team 1",#REF!,{"1","2","3","4"}))</f>
        <v>#REF!</v>
      </c>
      <c r="K90" s="10"/>
      <c r="L90" s="16" t="e">
        <f>J90/H90</f>
        <v>#REF!</v>
      </c>
      <c r="M90" s="10"/>
      <c r="N90" s="16">
        <f>$F$1</f>
        <v>1</v>
      </c>
      <c r="O90" s="8"/>
      <c r="P90" s="46" t="e">
        <f>COUNTIFS(tbl_cleaning[Housing Team],"North Team 1",#REF!,3)+COUNTIFS(tbl_cleaning[Housing Team],"North Team 1",#REF!,4)</f>
        <v>#REF!</v>
      </c>
      <c r="Q90" s="10"/>
      <c r="R90" s="16">
        <f t="shared" si="36"/>
        <v>0</v>
      </c>
      <c r="S90" s="10"/>
      <c r="T90" s="40">
        <f t="shared" si="37"/>
        <v>0.9</v>
      </c>
      <c r="U90" s="8"/>
    </row>
    <row r="91" spans="1:21" ht="15.75" customHeight="1" x14ac:dyDescent="0.25">
      <c r="A91" s="515"/>
      <c r="B91" s="504" t="s">
        <v>12</v>
      </c>
      <c r="C91" s="504"/>
      <c r="D91" s="504"/>
      <c r="E91" s="504"/>
      <c r="F91" s="504"/>
      <c r="H91" s="46" t="e">
        <f>(COUNTIFS(#REF!,"North Team 1",#REF!,"&lt;&gt;NV"))</f>
        <v>#REF!</v>
      </c>
      <c r="I91" s="10"/>
      <c r="J91" s="46" t="e">
        <f t="array" ref="J91">SUM(COUNTIFS(#REF!,"North Team 1",#REF!,{"1","2","3","4"}))</f>
        <v>#REF!</v>
      </c>
      <c r="K91" s="10"/>
      <c r="L91" s="16" t="e">
        <f>J91/H91</f>
        <v>#REF!</v>
      </c>
      <c r="M91" s="10"/>
      <c r="N91" s="16">
        <f>$F$1</f>
        <v>1</v>
      </c>
      <c r="O91" s="8"/>
      <c r="P91" s="46" t="e">
        <f>COUNTIFS(#REF!,"North Team 1",#REF!,3)+COUNTIFS(#REF!,"North Team 1",#REF!,4)</f>
        <v>#REF!</v>
      </c>
      <c r="Q91" s="10"/>
      <c r="R91" s="16">
        <f t="shared" si="36"/>
        <v>0</v>
      </c>
      <c r="S91" s="10"/>
      <c r="T91" s="40">
        <f t="shared" si="37"/>
        <v>0.9</v>
      </c>
      <c r="U91" s="8"/>
    </row>
    <row r="92" spans="1:21" ht="15.75" customHeight="1" x14ac:dyDescent="0.25">
      <c r="A92" s="516"/>
      <c r="B92" s="504" t="s">
        <v>13</v>
      </c>
      <c r="C92" s="504"/>
      <c r="D92" s="504"/>
      <c r="E92" s="504"/>
      <c r="F92" s="504"/>
      <c r="H92" s="46" t="e">
        <f>H89+H90+H91</f>
        <v>#REF!</v>
      </c>
      <c r="I92" s="10"/>
      <c r="J92" s="46" t="e">
        <f>SUM(J89:J91)</f>
        <v>#REF!</v>
      </c>
      <c r="K92" s="10"/>
      <c r="L92" s="16" t="e">
        <f>J92/H92</f>
        <v>#REF!</v>
      </c>
      <c r="M92" s="10"/>
      <c r="N92" s="16">
        <f>$F$1</f>
        <v>1</v>
      </c>
      <c r="O92" s="8"/>
      <c r="P92" s="46" t="e">
        <f>SUM(P89:P91)</f>
        <v>#REF!</v>
      </c>
      <c r="Q92" s="10"/>
      <c r="R92" s="16">
        <f t="shared" si="36"/>
        <v>0</v>
      </c>
      <c r="S92" s="10"/>
      <c r="T92" s="40">
        <f t="shared" si="37"/>
        <v>0.9</v>
      </c>
      <c r="U92" s="8"/>
    </row>
    <row r="93" spans="1:21" ht="15.75" customHeight="1" x14ac:dyDescent="0.25">
      <c r="H93"/>
      <c r="J93"/>
      <c r="P93"/>
    </row>
    <row r="94" spans="1:21" ht="15.75" customHeight="1" x14ac:dyDescent="0.25">
      <c r="A94" s="514" t="s">
        <v>31</v>
      </c>
      <c r="B94" s="504" t="s">
        <v>10</v>
      </c>
      <c r="C94" s="504"/>
      <c r="D94" s="504"/>
      <c r="E94" s="504"/>
      <c r="F94" s="504"/>
      <c r="H94" s="46" t="e">
        <f>COUNTIFS(tbl_cleaning[Housing Team],"North Team 2",#REF!,"&lt;&gt;NV")</f>
        <v>#REF!</v>
      </c>
      <c r="I94" s="10"/>
      <c r="J94" s="46" t="e">
        <f>SUM(COUNTIFS(tbl_cleaning[Housing Team],"North Team 2",#REF!,{"1","2","3","4"}))</f>
        <v>#REF!</v>
      </c>
      <c r="K94" s="10"/>
      <c r="L94" s="16" t="e">
        <f>J94/H94</f>
        <v>#REF!</v>
      </c>
      <c r="M94" s="10"/>
      <c r="N94" s="16">
        <f>$F$1</f>
        <v>1</v>
      </c>
      <c r="O94" s="8"/>
      <c r="P94" s="46" t="e">
        <f>COUNTIFS(tbl_cleaning[Housing Team],"North Team 2",#REF!,3)+COUNTIFS(tbl_cleaning[Housing Team],"North Team 2",#REF!,4)</f>
        <v>#REF!</v>
      </c>
      <c r="Q94" s="10"/>
      <c r="R94" s="16">
        <f t="shared" ref="R94:R97" si="38">IFERROR(P94/J94,0)</f>
        <v>0</v>
      </c>
      <c r="S94" s="10"/>
      <c r="T94" s="40">
        <f t="shared" ref="T94:T97" si="39">$Q$1</f>
        <v>0.9</v>
      </c>
      <c r="U94" s="8"/>
    </row>
    <row r="95" spans="1:21" ht="15.75" customHeight="1" x14ac:dyDescent="0.25">
      <c r="A95" s="515"/>
      <c r="B95" s="504" t="s">
        <v>11</v>
      </c>
      <c r="C95" s="504"/>
      <c r="D95" s="504"/>
      <c r="E95" s="504"/>
      <c r="F95" s="504"/>
      <c r="H95" s="46" t="e">
        <f>COUNTIFS(tbl_cleaning[Housing Team],"North Team 2",#REF!,"&lt;&gt;NV")</f>
        <v>#REF!</v>
      </c>
      <c r="I95" s="10"/>
      <c r="J95" s="46" t="e">
        <f>SUM(COUNTIFS(tbl_cleaning[Housing Team],"North Team 2",#REF!,{"1","2","3","4"}))</f>
        <v>#REF!</v>
      </c>
      <c r="K95" s="10"/>
      <c r="L95" s="16" t="e">
        <f>J95/H95</f>
        <v>#REF!</v>
      </c>
      <c r="M95" s="10"/>
      <c r="N95" s="16">
        <f>$F$1</f>
        <v>1</v>
      </c>
      <c r="O95" s="8"/>
      <c r="P95" s="46" t="e">
        <f>COUNTIFS(tbl_cleaning[Housing Team],"North Team 2",#REF!,3)+COUNTIFS(tbl_cleaning[Housing Team],"North Team 2",#REF!,4)</f>
        <v>#REF!</v>
      </c>
      <c r="Q95" s="10"/>
      <c r="R95" s="16">
        <f t="shared" si="38"/>
        <v>0</v>
      </c>
      <c r="S95" s="10"/>
      <c r="T95" s="40">
        <f t="shared" si="39"/>
        <v>0.9</v>
      </c>
      <c r="U95" s="8"/>
    </row>
    <row r="96" spans="1:21" ht="15.75" customHeight="1" x14ac:dyDescent="0.25">
      <c r="A96" s="515"/>
      <c r="B96" s="504" t="s">
        <v>12</v>
      </c>
      <c r="C96" s="504"/>
      <c r="D96" s="504"/>
      <c r="E96" s="504"/>
      <c r="F96" s="504"/>
      <c r="H96" s="46" t="e">
        <f>(COUNTIFS(#REF!,"North Team 2",#REF!,"&lt;&gt;NV"))</f>
        <v>#REF!</v>
      </c>
      <c r="I96" s="10"/>
      <c r="J96" s="46" t="e">
        <f t="array" ref="J96">SUM(COUNTIFS(#REF!,"North Team 2",#REF!,{"1","2","3","4"}))</f>
        <v>#REF!</v>
      </c>
      <c r="K96" s="10"/>
      <c r="L96" s="16" t="e">
        <f>J96/H96</f>
        <v>#REF!</v>
      </c>
      <c r="M96" s="10"/>
      <c r="N96" s="16">
        <f>$F$1</f>
        <v>1</v>
      </c>
      <c r="O96" s="8"/>
      <c r="P96" s="46" t="e">
        <f>COUNTIFS(#REF!,"North Team 2",#REF!,3)+COUNTIFS(#REF!,"North Team 2",#REF!,4)</f>
        <v>#REF!</v>
      </c>
      <c r="Q96" s="10"/>
      <c r="R96" s="16">
        <f t="shared" si="38"/>
        <v>0</v>
      </c>
      <c r="S96" s="10"/>
      <c r="T96" s="40">
        <f t="shared" si="39"/>
        <v>0.9</v>
      </c>
      <c r="U96" s="8"/>
    </row>
    <row r="97" spans="1:21" ht="15.75" customHeight="1" x14ac:dyDescent="0.25">
      <c r="A97" s="516"/>
      <c r="B97" s="504" t="s">
        <v>13</v>
      </c>
      <c r="C97" s="504"/>
      <c r="D97" s="504"/>
      <c r="E97" s="504"/>
      <c r="F97" s="504"/>
      <c r="H97" s="46" t="e">
        <f>H94+H95+H96</f>
        <v>#REF!</v>
      </c>
      <c r="I97" s="10"/>
      <c r="J97" s="46" t="e">
        <f>SUM(J94:J96)</f>
        <v>#REF!</v>
      </c>
      <c r="K97" s="10"/>
      <c r="L97" s="16" t="e">
        <f>J97/H97</f>
        <v>#REF!</v>
      </c>
      <c r="M97" s="10"/>
      <c r="N97" s="16">
        <f>$F$1</f>
        <v>1</v>
      </c>
      <c r="O97" s="8"/>
      <c r="P97" s="46" t="e">
        <f>SUM(P94:P96)</f>
        <v>#REF!</v>
      </c>
      <c r="Q97" s="10"/>
      <c r="R97" s="16">
        <f t="shared" si="38"/>
        <v>0</v>
      </c>
      <c r="S97" s="10"/>
      <c r="T97" s="40">
        <f t="shared" si="39"/>
        <v>0.9</v>
      </c>
      <c r="U97" s="8"/>
    </row>
    <row r="98" spans="1:21" ht="15.75" customHeight="1" x14ac:dyDescent="0.25">
      <c r="H98"/>
      <c r="J98"/>
      <c r="P98"/>
    </row>
    <row r="99" spans="1:21" ht="15.75" customHeight="1" x14ac:dyDescent="0.25">
      <c r="A99" s="514" t="s">
        <v>32</v>
      </c>
      <c r="B99" s="504" t="s">
        <v>10</v>
      </c>
      <c r="C99" s="504"/>
      <c r="D99" s="504"/>
      <c r="E99" s="504"/>
      <c r="F99" s="504"/>
      <c r="H99" s="46" t="e">
        <f>COUNTIFS(tbl_cleaning[Housing Team],"North Team 3",#REF!,"&lt;&gt;NV")</f>
        <v>#REF!</v>
      </c>
      <c r="I99" s="10"/>
      <c r="J99" s="46" t="e">
        <f>SUM(COUNTIFS(tbl_cleaning[Housing Team],"North Team 3",#REF!,{"1","2","3","4"}))</f>
        <v>#REF!</v>
      </c>
      <c r="K99" s="10"/>
      <c r="L99" s="16" t="e">
        <f>J99/H99</f>
        <v>#REF!</v>
      </c>
      <c r="M99" s="10"/>
      <c r="N99" s="16">
        <f>$F$1</f>
        <v>1</v>
      </c>
      <c r="O99" s="8"/>
      <c r="P99" s="46" t="e">
        <f>COUNTIFS(tbl_cleaning[Housing Team],"North Team 3",#REF!,3)+COUNTIFS(tbl_cleaning[Housing Team],"North Team 3",#REF!,4)</f>
        <v>#REF!</v>
      </c>
      <c r="Q99" s="10"/>
      <c r="R99" s="16">
        <f t="shared" ref="R99:R102" si="40">IFERROR(P99/J99,0)</f>
        <v>0</v>
      </c>
      <c r="S99" s="10"/>
      <c r="T99" s="40">
        <f t="shared" ref="T99:T102" si="41">$Q$1</f>
        <v>0.9</v>
      </c>
      <c r="U99" s="8"/>
    </row>
    <row r="100" spans="1:21" ht="15.75" customHeight="1" x14ac:dyDescent="0.25">
      <c r="A100" s="515"/>
      <c r="B100" s="504" t="s">
        <v>11</v>
      </c>
      <c r="C100" s="504"/>
      <c r="D100" s="504"/>
      <c r="E100" s="504"/>
      <c r="F100" s="504"/>
      <c r="H100" s="46" t="e">
        <f>COUNTIFS(tbl_cleaning[Housing Team],"North Team 3",#REF!,"&lt;&gt;NV")</f>
        <v>#REF!</v>
      </c>
      <c r="I100" s="10"/>
      <c r="J100" s="46" t="e">
        <f>SUM(COUNTIFS(tbl_cleaning[Housing Team],"North Team 3",#REF!,{"1","2","3","4"}))</f>
        <v>#REF!</v>
      </c>
      <c r="K100" s="10"/>
      <c r="L100" s="16" t="e">
        <f>J100/H100</f>
        <v>#REF!</v>
      </c>
      <c r="M100" s="10"/>
      <c r="N100" s="16">
        <f>$F$1</f>
        <v>1</v>
      </c>
      <c r="O100" s="8"/>
      <c r="P100" s="46" t="e">
        <f>COUNTIFS(tbl_cleaning[Housing Team],"North Team 3",#REF!,3)+COUNTIFS(tbl_cleaning[Housing Team],"North Team 3",#REF!,4)</f>
        <v>#REF!</v>
      </c>
      <c r="Q100" s="10"/>
      <c r="R100" s="16">
        <f t="shared" si="40"/>
        <v>0</v>
      </c>
      <c r="S100" s="10"/>
      <c r="T100" s="40">
        <f t="shared" si="41"/>
        <v>0.9</v>
      </c>
      <c r="U100" s="8"/>
    </row>
    <row r="101" spans="1:21" ht="15.75" customHeight="1" x14ac:dyDescent="0.25">
      <c r="A101" s="515"/>
      <c r="B101" s="504" t="s">
        <v>12</v>
      </c>
      <c r="C101" s="504"/>
      <c r="D101" s="504"/>
      <c r="E101" s="504"/>
      <c r="F101" s="504"/>
      <c r="H101" s="46" t="e">
        <f>(COUNTIFS(#REF!,"North Team 3",#REF!,"&lt;&gt;NV"))</f>
        <v>#REF!</v>
      </c>
      <c r="I101" s="10"/>
      <c r="J101" s="46" t="e">
        <f t="array" ref="J101">SUM(COUNTIFS(#REF!,"North Team 3",#REF!,{"1","2","3","4"}))</f>
        <v>#REF!</v>
      </c>
      <c r="K101" s="10"/>
      <c r="L101" s="16" t="e">
        <f>J101/H101</f>
        <v>#REF!</v>
      </c>
      <c r="M101" s="10"/>
      <c r="N101" s="16">
        <f>$F$1</f>
        <v>1</v>
      </c>
      <c r="O101" s="8"/>
      <c r="P101" s="46" t="e">
        <f>COUNTIFS(#REF!,"North Team 3",#REF!,3)+COUNTIFS(#REF!,"North Team 3",#REF!,4)</f>
        <v>#REF!</v>
      </c>
      <c r="Q101" s="10"/>
      <c r="R101" s="16">
        <f t="shared" si="40"/>
        <v>0</v>
      </c>
      <c r="S101" s="10"/>
      <c r="T101" s="40">
        <f t="shared" si="41"/>
        <v>0.9</v>
      </c>
      <c r="U101" s="8"/>
    </row>
    <row r="102" spans="1:21" ht="15.75" customHeight="1" x14ac:dyDescent="0.25">
      <c r="A102" s="516"/>
      <c r="B102" s="504" t="s">
        <v>13</v>
      </c>
      <c r="C102" s="504"/>
      <c r="D102" s="504"/>
      <c r="E102" s="504"/>
      <c r="F102" s="504"/>
      <c r="H102" s="46" t="e">
        <f>H99+H100+H101</f>
        <v>#REF!</v>
      </c>
      <c r="I102" s="10"/>
      <c r="J102" s="46" t="e">
        <f>SUM(J99:J101)</f>
        <v>#REF!</v>
      </c>
      <c r="K102" s="10"/>
      <c r="L102" s="16" t="e">
        <f>J102/H102</f>
        <v>#REF!</v>
      </c>
      <c r="M102" s="10"/>
      <c r="N102" s="16">
        <f>$F$1</f>
        <v>1</v>
      </c>
      <c r="O102" s="8"/>
      <c r="P102" s="46" t="e">
        <f>SUM(P99:P101)</f>
        <v>#REF!</v>
      </c>
      <c r="Q102" s="10"/>
      <c r="R102" s="16">
        <f t="shared" si="40"/>
        <v>0</v>
      </c>
      <c r="S102" s="10"/>
      <c r="T102" s="40">
        <f t="shared" si="41"/>
        <v>0.9</v>
      </c>
      <c r="U102" s="8"/>
    </row>
    <row r="103" spans="1:21" ht="15.75" customHeight="1" x14ac:dyDescent="0.25">
      <c r="H103"/>
      <c r="J103"/>
      <c r="P103"/>
    </row>
    <row r="104" spans="1:21" ht="15.75" customHeight="1" x14ac:dyDescent="0.25">
      <c r="A104" s="514" t="s">
        <v>33</v>
      </c>
      <c r="B104" s="504" t="s">
        <v>10</v>
      </c>
      <c r="C104" s="504"/>
      <c r="D104" s="504"/>
      <c r="E104" s="504"/>
      <c r="F104" s="504"/>
      <c r="H104" s="46" t="e">
        <f>COUNTIFS(tbl_cleaning[Housing Team],"North Team 4",#REF!,"&lt;&gt;NV")</f>
        <v>#REF!</v>
      </c>
      <c r="I104" s="10"/>
      <c r="J104" s="46" t="e">
        <f>SUM(COUNTIFS(tbl_cleaning[Housing Team],"North Team 4",#REF!,{"1","2","3","4"}))</f>
        <v>#REF!</v>
      </c>
      <c r="K104" s="10"/>
      <c r="L104" s="16" t="e">
        <f>J104/H104</f>
        <v>#REF!</v>
      </c>
      <c r="M104" s="10"/>
      <c r="N104" s="16">
        <f>$F$1</f>
        <v>1</v>
      </c>
      <c r="O104" s="8"/>
      <c r="P104" s="46" t="e">
        <f>COUNTIFS(tbl_cleaning[Housing Team],"North Team 4",#REF!,3)+COUNTIFS(tbl_cleaning[Housing Team],"North Team 4",#REF!,4)</f>
        <v>#REF!</v>
      </c>
      <c r="Q104" s="10"/>
      <c r="R104" s="16">
        <f t="shared" ref="R104:R107" si="42">IFERROR(P104/J104,0)</f>
        <v>0</v>
      </c>
      <c r="S104" s="10"/>
      <c r="T104" s="40">
        <f t="shared" ref="T104:T107" si="43">$Q$1</f>
        <v>0.9</v>
      </c>
      <c r="U104" s="8"/>
    </row>
    <row r="105" spans="1:21" ht="15.75" customHeight="1" x14ac:dyDescent="0.25">
      <c r="A105" s="515"/>
      <c r="B105" s="504" t="s">
        <v>11</v>
      </c>
      <c r="C105" s="504"/>
      <c r="D105" s="504"/>
      <c r="E105" s="504"/>
      <c r="F105" s="504"/>
      <c r="H105" s="46" t="e">
        <f>COUNTIFS(tbl_cleaning[Housing Team],"North Team 4",#REF!,"&lt;&gt;NV")</f>
        <v>#REF!</v>
      </c>
      <c r="I105" s="10"/>
      <c r="J105" s="46" t="e">
        <f>SUM(COUNTIFS(tbl_cleaning[Housing Team],"North Team 4",#REF!,{"1","2","3","4"}))</f>
        <v>#REF!</v>
      </c>
      <c r="K105" s="10"/>
      <c r="L105" s="16" t="e">
        <f>J105/H105</f>
        <v>#REF!</v>
      </c>
      <c r="M105" s="10"/>
      <c r="N105" s="16">
        <f>$F$1</f>
        <v>1</v>
      </c>
      <c r="O105" s="8"/>
      <c r="P105" s="46" t="e">
        <f>COUNTIFS(tbl_cleaning[Housing Team],"North Team 4",#REF!,3)+COUNTIFS(tbl_cleaning[Housing Team],"North Team 4",#REF!,4)</f>
        <v>#REF!</v>
      </c>
      <c r="Q105" s="10"/>
      <c r="R105" s="16">
        <f t="shared" si="42"/>
        <v>0</v>
      </c>
      <c r="S105" s="10"/>
      <c r="T105" s="40">
        <f t="shared" si="43"/>
        <v>0.9</v>
      </c>
      <c r="U105" s="8"/>
    </row>
    <row r="106" spans="1:21" ht="15.75" customHeight="1" x14ac:dyDescent="0.25">
      <c r="A106" s="515"/>
      <c r="B106" s="504" t="s">
        <v>12</v>
      </c>
      <c r="C106" s="504"/>
      <c r="D106" s="504"/>
      <c r="E106" s="504"/>
      <c r="F106" s="504"/>
      <c r="H106" s="46" t="e">
        <f>(COUNTIFS(#REF!,"North Team 4",#REF!,"&lt;&gt;NV"))</f>
        <v>#REF!</v>
      </c>
      <c r="I106" s="10"/>
      <c r="J106" s="46" t="e">
        <f t="array" ref="J106">SUM(COUNTIFS(#REF!,"North Team 4",#REF!,{"1","2","3","4"}))</f>
        <v>#REF!</v>
      </c>
      <c r="K106" s="10"/>
      <c r="L106" s="16" t="e">
        <f>J106/H106</f>
        <v>#REF!</v>
      </c>
      <c r="M106" s="10"/>
      <c r="N106" s="16">
        <f>$F$1</f>
        <v>1</v>
      </c>
      <c r="O106" s="8"/>
      <c r="P106" s="46" t="e">
        <f>COUNTIFS(#REF!,"North Team 4",#REF!,3)+COUNTIFS(#REF!,"North Team 4",#REF!,4)</f>
        <v>#REF!</v>
      </c>
      <c r="Q106" s="10"/>
      <c r="R106" s="16">
        <f t="shared" si="42"/>
        <v>0</v>
      </c>
      <c r="S106" s="10"/>
      <c r="T106" s="40">
        <f t="shared" si="43"/>
        <v>0.9</v>
      </c>
      <c r="U106" s="8"/>
    </row>
    <row r="107" spans="1:21" ht="15.75" customHeight="1" x14ac:dyDescent="0.25">
      <c r="A107" s="516"/>
      <c r="B107" s="504" t="s">
        <v>13</v>
      </c>
      <c r="C107" s="504"/>
      <c r="D107" s="504"/>
      <c r="E107" s="504"/>
      <c r="F107" s="504"/>
      <c r="H107" s="46" t="e">
        <f>H104+H105+H106</f>
        <v>#REF!</v>
      </c>
      <c r="I107" s="10"/>
      <c r="J107" s="46" t="e">
        <f>SUM(J104:J106)</f>
        <v>#REF!</v>
      </c>
      <c r="K107" s="10"/>
      <c r="L107" s="16" t="e">
        <f>J107/H107</f>
        <v>#REF!</v>
      </c>
      <c r="M107" s="10"/>
      <c r="N107" s="16">
        <f>$F$1</f>
        <v>1</v>
      </c>
      <c r="O107" s="8"/>
      <c r="P107" s="46" t="e">
        <f>SUM(P104:P106)</f>
        <v>#REF!</v>
      </c>
      <c r="Q107" s="10"/>
      <c r="R107" s="16">
        <f t="shared" si="42"/>
        <v>0</v>
      </c>
      <c r="S107" s="10"/>
      <c r="T107" s="40">
        <f t="shared" si="43"/>
        <v>0.9</v>
      </c>
      <c r="U107" s="8"/>
    </row>
    <row r="108" spans="1:21" ht="15.75" customHeight="1" x14ac:dyDescent="0.25">
      <c r="H108"/>
      <c r="J108"/>
      <c r="P108"/>
    </row>
    <row r="109" spans="1:21" ht="15.75" customHeight="1" x14ac:dyDescent="0.25">
      <c r="A109" s="514" t="s">
        <v>34</v>
      </c>
      <c r="B109" s="504" t="s">
        <v>10</v>
      </c>
      <c r="C109" s="504"/>
      <c r="D109" s="504"/>
      <c r="E109" s="504"/>
      <c r="F109" s="504"/>
      <c r="H109" s="46" t="e">
        <f>COUNTIFS(tbl_cleaning[Housing Team],"North Team 5",#REF!,"&lt;&gt;NV")</f>
        <v>#REF!</v>
      </c>
      <c r="I109" s="10"/>
      <c r="J109" s="46" t="e">
        <f>SUM(COUNTIFS(tbl_cleaning[Housing Team],"North Team 5",#REF!,{"1","2","3","4"}))</f>
        <v>#REF!</v>
      </c>
      <c r="K109" s="10"/>
      <c r="L109" s="16" t="e">
        <f>J109/H109</f>
        <v>#REF!</v>
      </c>
      <c r="M109" s="10"/>
      <c r="N109" s="16">
        <f>$F$1</f>
        <v>1</v>
      </c>
      <c r="O109" s="8"/>
      <c r="P109" s="46" t="e">
        <f>COUNTIFS(tbl_cleaning[Housing Team],"North Team 5",#REF!,3)+COUNTIFS(tbl_cleaning[Housing Team],"North Team 5",#REF!,4)</f>
        <v>#REF!</v>
      </c>
      <c r="Q109" s="10"/>
      <c r="R109" s="16">
        <f t="shared" ref="R109:R112" si="44">IFERROR(P109/J109,0)</f>
        <v>0</v>
      </c>
      <c r="S109" s="10"/>
      <c r="T109" s="40">
        <f t="shared" ref="T109:T112" si="45">$Q$1</f>
        <v>0.9</v>
      </c>
      <c r="U109" s="8"/>
    </row>
    <row r="110" spans="1:21" ht="15.75" customHeight="1" x14ac:dyDescent="0.25">
      <c r="A110" s="515"/>
      <c r="B110" s="504" t="s">
        <v>11</v>
      </c>
      <c r="C110" s="504"/>
      <c r="D110" s="504"/>
      <c r="E110" s="504"/>
      <c r="F110" s="504"/>
      <c r="H110" s="46" t="e">
        <f>COUNTIFS(tbl_cleaning[Housing Team],"North Team 5",#REF!,"&lt;&gt;NV")</f>
        <v>#REF!</v>
      </c>
      <c r="I110" s="10"/>
      <c r="J110" s="46" t="e">
        <f>SUM(COUNTIFS(tbl_cleaning[Housing Team],"North Team 5",#REF!,{"1","2","3","4"}))</f>
        <v>#REF!</v>
      </c>
      <c r="K110" s="10"/>
      <c r="L110" s="16" t="e">
        <f>J110/H110</f>
        <v>#REF!</v>
      </c>
      <c r="M110" s="10"/>
      <c r="N110" s="16">
        <f>$F$1</f>
        <v>1</v>
      </c>
      <c r="O110" s="8"/>
      <c r="P110" s="46" t="e">
        <f>COUNTIFS(tbl_cleaning[Housing Team],"North Team 5",#REF!,3)+COUNTIFS(tbl_cleaning[Housing Team],"North Team 5",#REF!,4)</f>
        <v>#REF!</v>
      </c>
      <c r="Q110" s="10"/>
      <c r="R110" s="16">
        <f t="shared" si="44"/>
        <v>0</v>
      </c>
      <c r="S110" s="10"/>
      <c r="T110" s="40">
        <f t="shared" si="45"/>
        <v>0.9</v>
      </c>
      <c r="U110" s="8"/>
    </row>
    <row r="111" spans="1:21" ht="15.75" customHeight="1" x14ac:dyDescent="0.25">
      <c r="A111" s="515"/>
      <c r="B111" s="504" t="s">
        <v>12</v>
      </c>
      <c r="C111" s="504"/>
      <c r="D111" s="504"/>
      <c r="E111" s="504"/>
      <c r="F111" s="504"/>
      <c r="H111" s="46" t="e">
        <f>(COUNTIFS(#REF!,"North Team 5",#REF!,"&lt;&gt;NV"))</f>
        <v>#REF!</v>
      </c>
      <c r="I111" s="10"/>
      <c r="J111" s="46" t="e">
        <f t="array" ref="J111">SUM(COUNTIFS(#REF!,"North Team 5",#REF!,{"1","2","3","4"}))</f>
        <v>#REF!</v>
      </c>
      <c r="K111" s="10"/>
      <c r="L111" s="16" t="e">
        <f>J111/H111</f>
        <v>#REF!</v>
      </c>
      <c r="M111" s="10"/>
      <c r="N111" s="16">
        <f>$F$1</f>
        <v>1</v>
      </c>
      <c r="O111" s="8"/>
      <c r="P111" s="46" t="e">
        <f>COUNTIFS(#REF!,"North Team 5",#REF!,3)+COUNTIFS(#REF!,"North Team 5",#REF!,4)</f>
        <v>#REF!</v>
      </c>
      <c r="Q111" s="10"/>
      <c r="R111" s="16">
        <f t="shared" si="44"/>
        <v>0</v>
      </c>
      <c r="S111" s="10"/>
      <c r="T111" s="40">
        <f t="shared" si="45"/>
        <v>0.9</v>
      </c>
      <c r="U111" s="8"/>
    </row>
    <row r="112" spans="1:21" ht="15.75" customHeight="1" x14ac:dyDescent="0.25">
      <c r="A112" s="516"/>
      <c r="B112" s="504" t="s">
        <v>13</v>
      </c>
      <c r="C112" s="504"/>
      <c r="D112" s="504"/>
      <c r="E112" s="504"/>
      <c r="F112" s="504"/>
      <c r="H112" s="46" t="e">
        <f>H109+H110+H111</f>
        <v>#REF!</v>
      </c>
      <c r="I112" s="10"/>
      <c r="J112" s="46" t="e">
        <f>SUM(J109:J111)</f>
        <v>#REF!</v>
      </c>
      <c r="K112" s="10"/>
      <c r="L112" s="16" t="e">
        <f>J112/H112</f>
        <v>#REF!</v>
      </c>
      <c r="M112" s="10"/>
      <c r="N112" s="16">
        <f>$F$1</f>
        <v>1</v>
      </c>
      <c r="O112" s="8"/>
      <c r="P112" s="46" t="e">
        <f>SUM(P109:P111)</f>
        <v>#REF!</v>
      </c>
      <c r="Q112" s="10"/>
      <c r="R112" s="16">
        <f t="shared" si="44"/>
        <v>0</v>
      </c>
      <c r="S112" s="10"/>
      <c r="T112" s="40">
        <f t="shared" si="45"/>
        <v>0.9</v>
      </c>
      <c r="U112" s="8"/>
    </row>
    <row r="113" spans="1:21" ht="15.75" customHeight="1" x14ac:dyDescent="0.25">
      <c r="H113"/>
      <c r="J113"/>
      <c r="P113"/>
    </row>
    <row r="114" spans="1:21" ht="15.75" customHeight="1" x14ac:dyDescent="0.25">
      <c r="A114" s="514" t="s">
        <v>35</v>
      </c>
      <c r="B114" s="504" t="s">
        <v>10</v>
      </c>
      <c r="C114" s="504"/>
      <c r="D114" s="504"/>
      <c r="E114" s="504"/>
      <c r="F114" s="504"/>
      <c r="G114" t="s">
        <v>3</v>
      </c>
      <c r="H114" s="46" t="e">
        <f>COUNTIFS(tbl_cleaning[Housing Team],"North Team 6",#REF!,"&lt;&gt;NV")</f>
        <v>#REF!</v>
      </c>
      <c r="I114" s="10"/>
      <c r="J114" s="46" t="e">
        <f>SUM(COUNTIFS(tbl_cleaning[Housing Team],"North Team 6",#REF!,{"1","2","3","4"}))</f>
        <v>#REF!</v>
      </c>
      <c r="K114" s="10"/>
      <c r="L114" s="16" t="e">
        <f>J114/H114</f>
        <v>#REF!</v>
      </c>
      <c r="M114" s="10"/>
      <c r="N114" s="16">
        <f>$F$1</f>
        <v>1</v>
      </c>
      <c r="O114" s="8"/>
      <c r="P114" s="46" t="e">
        <f>COUNTIFS(tbl_cleaning[Housing Team],"North Team 6",#REF!,3)+COUNTIFS(tbl_cleaning[Housing Team],"North Team 6",#REF!,4)</f>
        <v>#REF!</v>
      </c>
      <c r="Q114" s="10"/>
      <c r="R114" s="16">
        <f t="shared" ref="R114:R117" si="46">IFERROR(P114/J114,0)</f>
        <v>0</v>
      </c>
      <c r="S114" s="10"/>
      <c r="T114" s="40">
        <f t="shared" ref="T114:T117" si="47">$Q$1</f>
        <v>0.9</v>
      </c>
      <c r="U114" s="8"/>
    </row>
    <row r="115" spans="1:21" ht="15.75" customHeight="1" x14ac:dyDescent="0.25">
      <c r="A115" s="515"/>
      <c r="B115" s="504" t="s">
        <v>11</v>
      </c>
      <c r="C115" s="504"/>
      <c r="D115" s="504"/>
      <c r="E115" s="504"/>
      <c r="F115" s="504"/>
      <c r="H115" s="46" t="e">
        <f>COUNTIFS(tbl_cleaning[Housing Team],"North Team 6",#REF!,"&lt;&gt;NV")</f>
        <v>#REF!</v>
      </c>
      <c r="I115" s="10"/>
      <c r="J115" s="46" t="e">
        <f>SUM(COUNTIFS(tbl_cleaning[Housing Team],"North Team 6",#REF!,{"1","2","3","4"}))</f>
        <v>#REF!</v>
      </c>
      <c r="K115" s="10"/>
      <c r="L115" s="16" t="e">
        <f>J115/H115</f>
        <v>#REF!</v>
      </c>
      <c r="M115" s="10"/>
      <c r="N115" s="16">
        <f>$F$1</f>
        <v>1</v>
      </c>
      <c r="O115" s="8"/>
      <c r="P115" s="46" t="e">
        <f>COUNTIFS(tbl_cleaning[Housing Team],"North Team 6",#REF!,3)+COUNTIFS(tbl_cleaning[Housing Team],"North Team 6",#REF!,4)</f>
        <v>#REF!</v>
      </c>
      <c r="Q115" s="10"/>
      <c r="R115" s="16">
        <f t="shared" si="46"/>
        <v>0</v>
      </c>
      <c r="S115" s="10"/>
      <c r="T115" s="40">
        <f t="shared" si="47"/>
        <v>0.9</v>
      </c>
      <c r="U115" s="8"/>
    </row>
    <row r="116" spans="1:21" ht="15.75" customHeight="1" x14ac:dyDescent="0.25">
      <c r="A116" s="515"/>
      <c r="B116" s="504" t="s">
        <v>12</v>
      </c>
      <c r="C116" s="504"/>
      <c r="D116" s="504"/>
      <c r="E116" s="504"/>
      <c r="F116" s="504"/>
      <c r="H116" s="46" t="e">
        <f>(COUNTIFS(#REF!,"North Team 6",#REF!,"&lt;&gt;NV"))</f>
        <v>#REF!</v>
      </c>
      <c r="I116" s="10"/>
      <c r="J116" s="46" t="e">
        <f t="array" ref="J116">SUM(COUNTIFS(#REF!,"North Team 6",#REF!,{"1","2","3","4"}))</f>
        <v>#REF!</v>
      </c>
      <c r="K116" s="10"/>
      <c r="L116" s="16" t="e">
        <f>J116/H116</f>
        <v>#REF!</v>
      </c>
      <c r="M116" s="10"/>
      <c r="N116" s="16">
        <f>$F$1</f>
        <v>1</v>
      </c>
      <c r="O116" s="8"/>
      <c r="P116" s="46" t="e">
        <f>COUNTIFS(#REF!,"North Team 6",#REF!,3)+COUNTIFS(#REF!,"North Team 6",#REF!,4)</f>
        <v>#REF!</v>
      </c>
      <c r="Q116" s="10"/>
      <c r="R116" s="16">
        <f t="shared" si="46"/>
        <v>0</v>
      </c>
      <c r="S116" s="10"/>
      <c r="T116" s="40">
        <f t="shared" si="47"/>
        <v>0.9</v>
      </c>
      <c r="U116" s="8"/>
    </row>
    <row r="117" spans="1:21" ht="15.75" customHeight="1" x14ac:dyDescent="0.25">
      <c r="A117" s="516"/>
      <c r="B117" s="504" t="s">
        <v>13</v>
      </c>
      <c r="C117" s="504"/>
      <c r="D117" s="504"/>
      <c r="E117" s="504"/>
      <c r="F117" s="504"/>
      <c r="H117" s="46" t="e">
        <f>H114+H115+H116</f>
        <v>#REF!</v>
      </c>
      <c r="I117" s="10"/>
      <c r="J117" s="46" t="e">
        <f>SUM(J114:J116)</f>
        <v>#REF!</v>
      </c>
      <c r="K117" s="10"/>
      <c r="L117" s="16" t="e">
        <f>J117/H117</f>
        <v>#REF!</v>
      </c>
      <c r="M117" s="10"/>
      <c r="N117" s="16">
        <f>$F$1</f>
        <v>1</v>
      </c>
      <c r="O117" s="8"/>
      <c r="P117" s="46" t="e">
        <f>SUM(P114:P116)</f>
        <v>#REF!</v>
      </c>
      <c r="Q117" s="10"/>
      <c r="R117" s="16">
        <f t="shared" si="46"/>
        <v>0</v>
      </c>
      <c r="S117" s="10"/>
      <c r="T117" s="40">
        <f t="shared" si="47"/>
        <v>0.9</v>
      </c>
      <c r="U117" s="8"/>
    </row>
    <row r="118" spans="1:21" ht="15.75" customHeight="1" x14ac:dyDescent="0.25">
      <c r="H118"/>
      <c r="J118"/>
      <c r="P118"/>
    </row>
    <row r="119" spans="1:21" ht="15.75" customHeight="1" x14ac:dyDescent="0.25">
      <c r="A119" s="514" t="s">
        <v>36</v>
      </c>
      <c r="B119" s="504" t="s">
        <v>10</v>
      </c>
      <c r="C119" s="504"/>
      <c r="D119" s="504"/>
      <c r="E119" s="504"/>
      <c r="F119" s="504"/>
      <c r="H119" s="46" t="e">
        <f>COUNTIFS(tbl_cleaning[Housing Team],"North Team 7",#REF!,"&lt;&gt;NV")</f>
        <v>#REF!</v>
      </c>
      <c r="I119" s="10"/>
      <c r="J119" s="46" t="e">
        <f>SUM(COUNTIFS(tbl_cleaning[Housing Team],"North Team 7",#REF!,{"1","2","3","4"}))</f>
        <v>#REF!</v>
      </c>
      <c r="K119" s="10"/>
      <c r="L119" s="16" t="e">
        <f>J119/H119</f>
        <v>#REF!</v>
      </c>
      <c r="M119" s="10"/>
      <c r="N119" s="16">
        <f>$F$1</f>
        <v>1</v>
      </c>
      <c r="O119" s="8"/>
      <c r="P119" s="46" t="e">
        <f>COUNTIFS(tbl_cleaning[Housing Team],"North Team 7",#REF!,3)+COUNTIFS(tbl_cleaning[Housing Team],"North Team 7",#REF!,4)</f>
        <v>#REF!</v>
      </c>
      <c r="Q119" s="10"/>
      <c r="R119" s="16">
        <f t="shared" ref="R119:R122" si="48">IFERROR(P119/J119,0)</f>
        <v>0</v>
      </c>
      <c r="S119" s="10"/>
      <c r="T119" s="40">
        <f t="shared" ref="T119:T122" si="49">$Q$1</f>
        <v>0.9</v>
      </c>
      <c r="U119" s="8"/>
    </row>
    <row r="120" spans="1:21" ht="15.75" customHeight="1" x14ac:dyDescent="0.25">
      <c r="A120" s="515"/>
      <c r="B120" s="504" t="s">
        <v>11</v>
      </c>
      <c r="C120" s="504"/>
      <c r="D120" s="504"/>
      <c r="E120" s="504"/>
      <c r="F120" s="504"/>
      <c r="H120" s="46" t="e">
        <f>COUNTIFS(tbl_cleaning[Housing Team],"North Team 7",#REF!,"&lt;&gt;NV")</f>
        <v>#REF!</v>
      </c>
      <c r="I120" s="10"/>
      <c r="J120" s="46" t="e">
        <f>SUM(COUNTIFS(tbl_cleaning[Housing Team],"North Team 7",#REF!,{"1","2","3","4"}))</f>
        <v>#REF!</v>
      </c>
      <c r="K120" s="10"/>
      <c r="L120" s="16" t="e">
        <f>J120/H120</f>
        <v>#REF!</v>
      </c>
      <c r="M120" s="10"/>
      <c r="N120" s="16">
        <f>$F$1</f>
        <v>1</v>
      </c>
      <c r="O120" s="8"/>
      <c r="P120" s="46" t="e">
        <f>COUNTIFS(tbl_cleaning[Housing Team],"North Team 7",#REF!,3)+COUNTIFS(tbl_cleaning[Housing Team],"North Team 7",#REF!,4)</f>
        <v>#REF!</v>
      </c>
      <c r="Q120" s="10"/>
      <c r="R120" s="16">
        <f t="shared" si="48"/>
        <v>0</v>
      </c>
      <c r="S120" s="10"/>
      <c r="T120" s="40">
        <f t="shared" si="49"/>
        <v>0.9</v>
      </c>
      <c r="U120" s="8"/>
    </row>
    <row r="121" spans="1:21" ht="15.75" customHeight="1" x14ac:dyDescent="0.25">
      <c r="A121" s="515"/>
      <c r="B121" s="504" t="s">
        <v>12</v>
      </c>
      <c r="C121" s="504"/>
      <c r="D121" s="504"/>
      <c r="E121" s="504"/>
      <c r="F121" s="504"/>
      <c r="H121" s="46" t="e">
        <f>(COUNTIFS(#REF!,"North Team 7",#REF!,"&lt;&gt;NV"))</f>
        <v>#REF!</v>
      </c>
      <c r="I121" s="10"/>
      <c r="J121" s="46" t="e">
        <f t="array" ref="J121">SUM(COUNTIFS(#REF!,"North Team 7",#REF!,{"1","2","3","4"}))</f>
        <v>#REF!</v>
      </c>
      <c r="K121" s="10"/>
      <c r="L121" s="16" t="e">
        <f>J121/H121</f>
        <v>#REF!</v>
      </c>
      <c r="M121" s="10"/>
      <c r="N121" s="16">
        <f>$F$1</f>
        <v>1</v>
      </c>
      <c r="O121" s="8"/>
      <c r="P121" s="46" t="e">
        <f>COUNTIFS(#REF!,"North Team 7",#REF!,3)+COUNTIFS(#REF!,"North Team 7",#REF!,4)</f>
        <v>#REF!</v>
      </c>
      <c r="Q121" s="10"/>
      <c r="R121" s="16">
        <f t="shared" si="48"/>
        <v>0</v>
      </c>
      <c r="S121" s="10"/>
      <c r="T121" s="40">
        <f t="shared" si="49"/>
        <v>0.9</v>
      </c>
      <c r="U121" s="8"/>
    </row>
    <row r="122" spans="1:21" ht="15.75" customHeight="1" x14ac:dyDescent="0.25">
      <c r="A122" s="516"/>
      <c r="B122" s="504" t="s">
        <v>13</v>
      </c>
      <c r="C122" s="504"/>
      <c r="D122" s="504"/>
      <c r="E122" s="504"/>
      <c r="F122" s="504"/>
      <c r="H122" s="46" t="e">
        <f>H119+H120+H121</f>
        <v>#REF!</v>
      </c>
      <c r="I122" s="10"/>
      <c r="J122" s="46" t="e">
        <f>SUM(J119:J121)</f>
        <v>#REF!</v>
      </c>
      <c r="K122" s="10"/>
      <c r="L122" s="16" t="e">
        <f>J122/H122</f>
        <v>#REF!</v>
      </c>
      <c r="M122" s="10"/>
      <c r="N122" s="16">
        <f>$F$1</f>
        <v>1</v>
      </c>
      <c r="O122" s="8"/>
      <c r="P122" s="46" t="e">
        <f>SUM(P119:P121)</f>
        <v>#REF!</v>
      </c>
      <c r="Q122" s="10"/>
      <c r="R122" s="16">
        <f t="shared" si="48"/>
        <v>0</v>
      </c>
      <c r="S122" s="10"/>
      <c r="T122" s="40">
        <f t="shared" si="49"/>
        <v>0.9</v>
      </c>
      <c r="U122" s="8"/>
    </row>
    <row r="123" spans="1:21" ht="15.75" customHeight="1" x14ac:dyDescent="0.25">
      <c r="H123"/>
      <c r="J123"/>
      <c r="P123"/>
    </row>
    <row r="124" spans="1:21" ht="15.75" customHeight="1" x14ac:dyDescent="0.25">
      <c r="A124" s="505" t="s">
        <v>37</v>
      </c>
      <c r="B124" s="504" t="s">
        <v>10</v>
      </c>
      <c r="C124" s="504"/>
      <c r="D124" s="504"/>
      <c r="E124" s="504"/>
      <c r="F124" s="504"/>
      <c r="G124" t="s">
        <v>3</v>
      </c>
      <c r="H124" s="46" t="e">
        <f>COUNTIFS(tbl_cleaning[Housing Team],"South Team 1",#REF!,"&lt;&gt;NV")</f>
        <v>#REF!</v>
      </c>
      <c r="I124" s="10"/>
      <c r="J124" s="46" t="e">
        <f>SUM(COUNTIFS(tbl_cleaning[Housing Team],"South Team 1",#REF!,{"1","2","3","4"}))</f>
        <v>#REF!</v>
      </c>
      <c r="K124" s="10"/>
      <c r="L124" s="16" t="e">
        <f>J124/H124</f>
        <v>#REF!</v>
      </c>
      <c r="M124" s="10"/>
      <c r="N124" s="16">
        <f>$F$1</f>
        <v>1</v>
      </c>
      <c r="O124" s="8"/>
      <c r="P124" s="46" t="e">
        <f>COUNTIFS(tbl_cleaning[Housing Team],"South Team 1",#REF!,3)+COUNTIFS(tbl_cleaning[Housing Team],"South Team 1",#REF!,4)</f>
        <v>#REF!</v>
      </c>
      <c r="Q124" s="10"/>
      <c r="R124" s="16">
        <f t="shared" ref="R124:R127" si="50">IFERROR(P124/J124,0)</f>
        <v>0</v>
      </c>
      <c r="S124" s="10"/>
      <c r="T124" s="40">
        <f t="shared" ref="T124:T127" si="51">$Q$1</f>
        <v>0.9</v>
      </c>
      <c r="U124" s="8"/>
    </row>
    <row r="125" spans="1:21" ht="15.75" customHeight="1" x14ac:dyDescent="0.25">
      <c r="A125" s="529"/>
      <c r="B125" s="504" t="s">
        <v>11</v>
      </c>
      <c r="C125" s="504"/>
      <c r="D125" s="504"/>
      <c r="E125" s="504"/>
      <c r="F125" s="504"/>
      <c r="H125" s="46" t="e">
        <f>COUNTIFS(tbl_cleaning[Housing Team],"South Team 1",#REF!,"&lt;&gt;NV")</f>
        <v>#REF!</v>
      </c>
      <c r="I125" s="10"/>
      <c r="J125" s="46" t="e">
        <f>SUM(COUNTIFS(tbl_cleaning[Housing Team],"South Team 1",#REF!,{"1","2","3","4"}))</f>
        <v>#REF!</v>
      </c>
      <c r="K125" s="10"/>
      <c r="L125" s="16" t="e">
        <f>J125/H125</f>
        <v>#REF!</v>
      </c>
      <c r="M125" s="10"/>
      <c r="N125" s="16">
        <f>$F$1</f>
        <v>1</v>
      </c>
      <c r="O125" s="8"/>
      <c r="P125" s="46" t="e">
        <f>COUNTIFS(tbl_cleaning[Housing Team],"South Team 1",#REF!,3)+COUNTIFS(tbl_cleaning[Housing Team],"South Team 1",#REF!,4)</f>
        <v>#REF!</v>
      </c>
      <c r="Q125" s="10"/>
      <c r="R125" s="16">
        <f t="shared" si="50"/>
        <v>0</v>
      </c>
      <c r="S125" s="10"/>
      <c r="T125" s="40">
        <f t="shared" si="51"/>
        <v>0.9</v>
      </c>
      <c r="U125" s="8"/>
    </row>
    <row r="126" spans="1:21" ht="15.75" customHeight="1" x14ac:dyDescent="0.25">
      <c r="A126" s="529"/>
      <c r="B126" s="504" t="s">
        <v>12</v>
      </c>
      <c r="C126" s="504"/>
      <c r="D126" s="504"/>
      <c r="E126" s="504"/>
      <c r="F126" s="504"/>
      <c r="H126" s="46" t="e">
        <f>(COUNTIFS(#REF!,"South Team 1",#REF!,"&lt;&gt;NV"))</f>
        <v>#REF!</v>
      </c>
      <c r="I126" s="10"/>
      <c r="J126" s="46" t="e">
        <f t="array" ref="J126">SUM(COUNTIFS(#REF!,"South Team 1",#REF!,{"1","2","3","4"}))</f>
        <v>#REF!</v>
      </c>
      <c r="K126" s="10"/>
      <c r="L126" s="16" t="e">
        <f>J126/H126</f>
        <v>#REF!</v>
      </c>
      <c r="M126" s="10"/>
      <c r="N126" s="16">
        <f>$F$1</f>
        <v>1</v>
      </c>
      <c r="O126" s="8"/>
      <c r="P126" s="46" t="e">
        <f>COUNTIFS(#REF!,"South Team 1",#REF!,3)+COUNTIFS(#REF!,"South Team 1",#REF!,4)</f>
        <v>#REF!</v>
      </c>
      <c r="Q126" s="10"/>
      <c r="R126" s="16">
        <f t="shared" si="50"/>
        <v>0</v>
      </c>
      <c r="S126" s="10"/>
      <c r="T126" s="40">
        <f t="shared" si="51"/>
        <v>0.9</v>
      </c>
      <c r="U126" s="8"/>
    </row>
    <row r="127" spans="1:21" ht="15.75" customHeight="1" x14ac:dyDescent="0.25">
      <c r="A127" s="530"/>
      <c r="B127" s="504" t="s">
        <v>13</v>
      </c>
      <c r="C127" s="504"/>
      <c r="D127" s="504"/>
      <c r="E127" s="504"/>
      <c r="F127" s="504"/>
      <c r="H127" s="46" t="e">
        <f>H124+H125+H126</f>
        <v>#REF!</v>
      </c>
      <c r="I127" s="10"/>
      <c r="J127" s="46" t="e">
        <f>SUM(J124:J126)</f>
        <v>#REF!</v>
      </c>
      <c r="K127" s="10"/>
      <c r="L127" s="16" t="e">
        <f>J127/H127</f>
        <v>#REF!</v>
      </c>
      <c r="M127" s="10"/>
      <c r="N127" s="16">
        <f>$F$1</f>
        <v>1</v>
      </c>
      <c r="O127" s="8"/>
      <c r="P127" s="46" t="e">
        <f>SUM(P124:P126)</f>
        <v>#REF!</v>
      </c>
      <c r="Q127" s="10"/>
      <c r="R127" s="16">
        <f t="shared" si="50"/>
        <v>0</v>
      </c>
      <c r="S127" s="10"/>
      <c r="T127" s="40">
        <f t="shared" si="51"/>
        <v>0.9</v>
      </c>
      <c r="U127" s="8"/>
    </row>
    <row r="128" spans="1:21" ht="15.75" customHeight="1" x14ac:dyDescent="0.25">
      <c r="H128"/>
      <c r="J128"/>
      <c r="P128"/>
    </row>
    <row r="129" spans="1:21" ht="15.75" customHeight="1" x14ac:dyDescent="0.25">
      <c r="A129" s="505" t="s">
        <v>38</v>
      </c>
      <c r="B129" s="504" t="s">
        <v>10</v>
      </c>
      <c r="C129" s="504"/>
      <c r="D129" s="504"/>
      <c r="E129" s="504"/>
      <c r="F129" s="504"/>
      <c r="H129" s="46" t="e">
        <f>COUNTIFS(tbl_cleaning[Housing Team],"South Team 2",#REF!,"&lt;&gt;NV")</f>
        <v>#REF!</v>
      </c>
      <c r="I129" s="10"/>
      <c r="J129" s="46" t="e">
        <f>SUM(COUNTIFS(tbl_cleaning[Housing Team],"South Team 2",#REF!,{"1","2","3","4"}))</f>
        <v>#REF!</v>
      </c>
      <c r="K129" s="10"/>
      <c r="L129" s="16" t="e">
        <f>J129/H129</f>
        <v>#REF!</v>
      </c>
      <c r="M129" s="10"/>
      <c r="N129" s="16">
        <f>$F$1</f>
        <v>1</v>
      </c>
      <c r="O129" s="8"/>
      <c r="P129" s="46" t="e">
        <f>COUNTIFS(tbl_cleaning[Housing Team],"South Team 2",#REF!,3)+COUNTIFS(tbl_cleaning[Housing Team],"South Team 2",#REF!,4)</f>
        <v>#REF!</v>
      </c>
      <c r="Q129" s="10"/>
      <c r="R129" s="16">
        <f t="shared" ref="R129:R132" si="52">IFERROR(P129/J129,0)</f>
        <v>0</v>
      </c>
      <c r="S129" s="10"/>
      <c r="T129" s="40">
        <f t="shared" ref="T129:T132" si="53">$Q$1</f>
        <v>0.9</v>
      </c>
      <c r="U129" s="8"/>
    </row>
    <row r="130" spans="1:21" ht="15.75" customHeight="1" x14ac:dyDescent="0.25">
      <c r="A130" s="529"/>
      <c r="B130" s="504" t="s">
        <v>11</v>
      </c>
      <c r="C130" s="504"/>
      <c r="D130" s="504"/>
      <c r="E130" s="504"/>
      <c r="F130" s="504"/>
      <c r="H130" s="46" t="e">
        <f>COUNTIFS(tbl_cleaning[Housing Team],"South Team 2",#REF!,"&lt;&gt;NV")</f>
        <v>#REF!</v>
      </c>
      <c r="I130" s="10"/>
      <c r="J130" s="46" t="e">
        <f>SUM(COUNTIFS(tbl_cleaning[Housing Team],"South Team 2",#REF!,{"1","2","3","4"}))</f>
        <v>#REF!</v>
      </c>
      <c r="K130" s="10"/>
      <c r="L130" s="16" t="e">
        <f>J130/H130</f>
        <v>#REF!</v>
      </c>
      <c r="M130" s="10"/>
      <c r="N130" s="16">
        <f>$F$1</f>
        <v>1</v>
      </c>
      <c r="O130" s="8"/>
      <c r="P130" s="46" t="e">
        <f>COUNTIFS(tbl_cleaning[Housing Team],"South Team 2",#REF!,3)+COUNTIFS(tbl_cleaning[Housing Team],"South Team 2",#REF!,4)</f>
        <v>#REF!</v>
      </c>
      <c r="Q130" s="10"/>
      <c r="R130" s="16">
        <f t="shared" si="52"/>
        <v>0</v>
      </c>
      <c r="S130" s="10"/>
      <c r="T130" s="40">
        <f t="shared" si="53"/>
        <v>0.9</v>
      </c>
      <c r="U130" s="8"/>
    </row>
    <row r="131" spans="1:21" ht="15.75" customHeight="1" x14ac:dyDescent="0.25">
      <c r="A131" s="529"/>
      <c r="B131" s="504" t="s">
        <v>12</v>
      </c>
      <c r="C131" s="504"/>
      <c r="D131" s="504"/>
      <c r="E131" s="504"/>
      <c r="F131" s="504"/>
      <c r="H131" s="46" t="e">
        <f>(COUNTIFS(#REF!,"South Team 2",#REF!,"&lt;&gt;NV"))</f>
        <v>#REF!</v>
      </c>
      <c r="I131" s="10"/>
      <c r="J131" s="46" t="e">
        <f t="array" ref="J131">SUM(COUNTIFS(#REF!,"South Team 2",#REF!,{"1","2","3","4"}))</f>
        <v>#REF!</v>
      </c>
      <c r="K131" s="10"/>
      <c r="L131" s="16" t="e">
        <f>J131/H131</f>
        <v>#REF!</v>
      </c>
      <c r="M131" s="10"/>
      <c r="N131" s="16">
        <f>$F$1</f>
        <v>1</v>
      </c>
      <c r="O131" s="8"/>
      <c r="P131" s="46" t="e">
        <f>COUNTIFS(#REF!,"South Team 2",#REF!,3)+COUNTIFS(#REF!,"South Team 2",#REF!,4)</f>
        <v>#REF!</v>
      </c>
      <c r="Q131" s="10"/>
      <c r="R131" s="16">
        <f t="shared" si="52"/>
        <v>0</v>
      </c>
      <c r="S131" s="10"/>
      <c r="T131" s="40">
        <f t="shared" si="53"/>
        <v>0.9</v>
      </c>
      <c r="U131" s="8"/>
    </row>
    <row r="132" spans="1:21" ht="15.75" customHeight="1" x14ac:dyDescent="0.25">
      <c r="A132" s="530"/>
      <c r="B132" s="504" t="s">
        <v>13</v>
      </c>
      <c r="C132" s="504"/>
      <c r="D132" s="504"/>
      <c r="E132" s="504"/>
      <c r="F132" s="504"/>
      <c r="H132" s="46" t="e">
        <f>H129+H130+H131</f>
        <v>#REF!</v>
      </c>
      <c r="I132" s="10"/>
      <c r="J132" s="46" t="e">
        <f>SUM(J129:J131)</f>
        <v>#REF!</v>
      </c>
      <c r="K132" s="10"/>
      <c r="L132" s="16" t="e">
        <f>J132/H132</f>
        <v>#REF!</v>
      </c>
      <c r="M132" s="10"/>
      <c r="N132" s="16">
        <f>$F$1</f>
        <v>1</v>
      </c>
      <c r="O132" s="8"/>
      <c r="P132" s="46" t="e">
        <f>SUM(P129:P131)</f>
        <v>#REF!</v>
      </c>
      <c r="Q132" s="10"/>
      <c r="R132" s="16">
        <f t="shared" si="52"/>
        <v>0</v>
      </c>
      <c r="S132" s="10"/>
      <c r="T132" s="40">
        <f t="shared" si="53"/>
        <v>0.9</v>
      </c>
      <c r="U132" s="8"/>
    </row>
    <row r="133" spans="1:21" ht="15.75" customHeight="1" thickBot="1" x14ac:dyDescent="0.3">
      <c r="H133"/>
      <c r="J133"/>
      <c r="P133"/>
    </row>
    <row r="134" spans="1:21" ht="15.75" customHeight="1" x14ac:dyDescent="0.25">
      <c r="A134" s="517" t="s">
        <v>39</v>
      </c>
      <c r="B134" s="50" t="s">
        <v>10</v>
      </c>
      <c r="C134" s="50"/>
      <c r="D134" s="50"/>
      <c r="E134" s="50"/>
      <c r="F134" s="51"/>
      <c r="G134" s="15"/>
      <c r="H134" s="46" t="e">
        <f>SUM(H4+H9+H19+H24+H29+H34+H39+H49)</f>
        <v>#REF!</v>
      </c>
      <c r="I134" s="10"/>
      <c r="J134" s="46" t="e">
        <f>SUM(J4+J9+J19+J24+J29+J34+J39+J49)</f>
        <v>#REF!</v>
      </c>
      <c r="K134" s="10"/>
      <c r="L134" s="16" t="e">
        <f>J134/H134</f>
        <v>#REF!</v>
      </c>
      <c r="M134" s="10"/>
      <c r="N134" s="16">
        <f>$F$1</f>
        <v>1</v>
      </c>
      <c r="O134" s="8"/>
      <c r="P134" s="46" t="e">
        <f>SUM(P4+P9+P19+P24+P29+P34+P39+P49)</f>
        <v>#REF!</v>
      </c>
      <c r="Q134" s="10"/>
      <c r="R134" s="16">
        <f t="shared" ref="R134:R137" si="54">IFERROR(P134/J134,0)</f>
        <v>0</v>
      </c>
      <c r="S134" s="10"/>
      <c r="T134" s="40">
        <f t="shared" ref="T134:T152" si="55">$Q$1</f>
        <v>0.9</v>
      </c>
      <c r="U134" s="8"/>
    </row>
    <row r="135" spans="1:21" ht="15.75" customHeight="1" x14ac:dyDescent="0.25">
      <c r="A135" s="518"/>
      <c r="B135" s="50" t="s">
        <v>11</v>
      </c>
      <c r="C135" s="50"/>
      <c r="D135" s="50"/>
      <c r="E135" s="50"/>
      <c r="F135" s="51"/>
      <c r="G135" s="15"/>
      <c r="H135" s="46" t="e">
        <f>SUM(H5+H10+H20+H25+H30+H35+H40+H50)</f>
        <v>#REF!</v>
      </c>
      <c r="I135" s="10"/>
      <c r="J135" s="46" t="e">
        <f>SUM(J5+J10+J20+J25+J30+J35+J40+J50)</f>
        <v>#REF!</v>
      </c>
      <c r="K135" s="10"/>
      <c r="L135" s="16" t="e">
        <f>J135/H135</f>
        <v>#REF!</v>
      </c>
      <c r="M135" s="10"/>
      <c r="N135" s="16">
        <f>$F$1</f>
        <v>1</v>
      </c>
      <c r="O135" s="8"/>
      <c r="P135" s="46" t="e">
        <f>SUM(P5+P10+P20+P25+P30+P35+P40+P50)</f>
        <v>#REF!</v>
      </c>
      <c r="Q135" s="10"/>
      <c r="R135" s="16">
        <f t="shared" si="54"/>
        <v>0</v>
      </c>
      <c r="S135" s="10"/>
      <c r="T135" s="40">
        <f t="shared" si="55"/>
        <v>0.9</v>
      </c>
      <c r="U135" s="8"/>
    </row>
    <row r="136" spans="1:21" ht="15.75" customHeight="1" x14ac:dyDescent="0.25">
      <c r="A136" s="518"/>
      <c r="B136" s="50" t="s">
        <v>12</v>
      </c>
      <c r="C136" s="50"/>
      <c r="D136" s="50"/>
      <c r="E136" s="50"/>
      <c r="F136" s="51"/>
      <c r="G136" s="15"/>
      <c r="H136" s="46" t="e">
        <f>SUM(H6+H11+H21+H26+H31+H36+H41+H51)</f>
        <v>#REF!</v>
      </c>
      <c r="I136" s="10"/>
      <c r="J136" s="46" t="e">
        <f>SUM(J6+J11+J21+J26+J31+J36+J41+J51)</f>
        <v>#REF!</v>
      </c>
      <c r="K136" s="10"/>
      <c r="L136" s="16" t="e">
        <f>J136/H136</f>
        <v>#REF!</v>
      </c>
      <c r="M136" s="10"/>
      <c r="N136" s="16">
        <f>$F$1</f>
        <v>1</v>
      </c>
      <c r="O136" s="8"/>
      <c r="P136" s="46" t="e">
        <f>SUM(P6+P11+P21+P26+P31+P36+P41+P51)</f>
        <v>#REF!</v>
      </c>
      <c r="Q136" s="10"/>
      <c r="R136" s="16">
        <f t="shared" si="54"/>
        <v>0</v>
      </c>
      <c r="S136" s="10"/>
      <c r="T136" s="40">
        <f t="shared" si="55"/>
        <v>0.9</v>
      </c>
      <c r="U136" s="8"/>
    </row>
    <row r="137" spans="1:21" ht="15.75" customHeight="1" thickBot="1" x14ac:dyDescent="0.3">
      <c r="A137" s="519"/>
      <c r="B137" s="50" t="s">
        <v>13</v>
      </c>
      <c r="C137" s="50"/>
      <c r="D137" s="50"/>
      <c r="E137" s="50"/>
      <c r="F137" s="51"/>
      <c r="G137" s="8"/>
      <c r="H137" s="46" t="e">
        <f>SUM(H134+H135+H136)</f>
        <v>#REF!</v>
      </c>
      <c r="I137" s="10"/>
      <c r="J137" s="46" t="e">
        <f>SUM(J7+J12+J22+J27+J32+J37+J42+J52)</f>
        <v>#REF!</v>
      </c>
      <c r="K137" s="10"/>
      <c r="L137" s="16" t="e">
        <f>J137/H137</f>
        <v>#REF!</v>
      </c>
      <c r="M137" s="10"/>
      <c r="N137" s="16">
        <f>$F$1</f>
        <v>1</v>
      </c>
      <c r="O137" s="8"/>
      <c r="P137" s="46" t="e">
        <f>SUM(P7+P12+P22+P27+P32+P37+P42+P52)</f>
        <v>#REF!</v>
      </c>
      <c r="Q137" s="10"/>
      <c r="R137" s="16">
        <f t="shared" si="54"/>
        <v>0</v>
      </c>
      <c r="S137" s="10"/>
      <c r="T137" s="40">
        <f t="shared" si="55"/>
        <v>0.9</v>
      </c>
      <c r="U137" s="8"/>
    </row>
    <row r="138" spans="1:21" ht="15.75" customHeight="1" thickBot="1" x14ac:dyDescent="0.3">
      <c r="H138"/>
      <c r="J138"/>
      <c r="P138"/>
    </row>
    <row r="139" spans="1:21" ht="15.75" customHeight="1" x14ac:dyDescent="0.25">
      <c r="A139" s="520" t="s">
        <v>40</v>
      </c>
      <c r="B139" s="50" t="s">
        <v>10</v>
      </c>
      <c r="C139" s="50"/>
      <c r="D139" s="50"/>
      <c r="E139" s="50"/>
      <c r="F139" s="51"/>
      <c r="G139" s="15"/>
      <c r="H139" s="46" t="e">
        <f>SUM(H14+H44+H54+H124+H129)</f>
        <v>#REF!</v>
      </c>
      <c r="I139" s="10"/>
      <c r="J139" s="46" t="e">
        <f>SUM(J14+J44+J54+J124+J129)</f>
        <v>#REF!</v>
      </c>
      <c r="K139" s="10"/>
      <c r="L139" s="16" t="e">
        <f>J139/H139</f>
        <v>#REF!</v>
      </c>
      <c r="M139" s="10"/>
      <c r="N139" s="16">
        <f>$F$1</f>
        <v>1</v>
      </c>
      <c r="O139" s="8"/>
      <c r="P139" s="46" t="e">
        <f>SUM(P14+P44+P54+P124+P129)</f>
        <v>#REF!</v>
      </c>
      <c r="Q139" s="10"/>
      <c r="R139" s="16">
        <f t="shared" ref="R139:R142" si="56">IFERROR(P139/J139,0)</f>
        <v>0</v>
      </c>
      <c r="S139" s="10"/>
      <c r="T139" s="40">
        <f t="shared" si="55"/>
        <v>0.9</v>
      </c>
      <c r="U139" s="8"/>
    </row>
    <row r="140" spans="1:21" ht="15.75" customHeight="1" x14ac:dyDescent="0.25">
      <c r="A140" s="521"/>
      <c r="B140" s="50" t="s">
        <v>11</v>
      </c>
      <c r="C140" s="50"/>
      <c r="D140" s="50"/>
      <c r="E140" s="50"/>
      <c r="F140" s="51"/>
      <c r="G140" s="15"/>
      <c r="H140" s="46" t="e">
        <f>SUM(H15+H45+H55+H125+H130)</f>
        <v>#REF!</v>
      </c>
      <c r="I140" s="10"/>
      <c r="J140" s="46" t="e">
        <f>SUM(J15+J45+J55+J125+J130)</f>
        <v>#REF!</v>
      </c>
      <c r="K140" s="10"/>
      <c r="L140" s="16" t="e">
        <f>J140/H140</f>
        <v>#REF!</v>
      </c>
      <c r="M140" s="10"/>
      <c r="N140" s="16">
        <f>$F$1</f>
        <v>1</v>
      </c>
      <c r="O140" s="8"/>
      <c r="P140" s="46" t="e">
        <f>SUM(P15+P45+P55+P125+P130)</f>
        <v>#REF!</v>
      </c>
      <c r="Q140" s="10"/>
      <c r="R140" s="16">
        <f t="shared" si="56"/>
        <v>0</v>
      </c>
      <c r="S140" s="10"/>
      <c r="T140" s="40">
        <f t="shared" si="55"/>
        <v>0.9</v>
      </c>
      <c r="U140" s="8"/>
    </row>
    <row r="141" spans="1:21" ht="15.75" customHeight="1" x14ac:dyDescent="0.25">
      <c r="A141" s="521"/>
      <c r="B141" s="50" t="s">
        <v>12</v>
      </c>
      <c r="C141" s="50"/>
      <c r="D141" s="50"/>
      <c r="E141" s="50"/>
      <c r="F141" s="51"/>
      <c r="G141" s="15"/>
      <c r="H141" s="46" t="e">
        <f>SUM(H16+H46+H56+H126+H131)</f>
        <v>#REF!</v>
      </c>
      <c r="I141" s="10"/>
      <c r="J141" s="46" t="e">
        <f>SUM(J16+J46+J56+J126+J131)</f>
        <v>#REF!</v>
      </c>
      <c r="K141" s="10"/>
      <c r="L141" s="16" t="e">
        <f>J141/H141</f>
        <v>#REF!</v>
      </c>
      <c r="M141" s="10"/>
      <c r="N141" s="16">
        <f>$F$1</f>
        <v>1</v>
      </c>
      <c r="O141" s="8"/>
      <c r="P141" s="46" t="e">
        <f>SUM(P16+P46+P56+P126+P131)</f>
        <v>#REF!</v>
      </c>
      <c r="Q141" s="10"/>
      <c r="R141" s="16">
        <f t="shared" si="56"/>
        <v>0</v>
      </c>
      <c r="S141" s="10"/>
      <c r="T141" s="40">
        <f t="shared" si="55"/>
        <v>0.9</v>
      </c>
      <c r="U141" s="8"/>
    </row>
    <row r="142" spans="1:21" ht="15.75" customHeight="1" thickBot="1" x14ac:dyDescent="0.3">
      <c r="A142" s="522"/>
      <c r="B142" s="50" t="s">
        <v>13</v>
      </c>
      <c r="C142" s="50"/>
      <c r="D142" s="50"/>
      <c r="E142" s="50"/>
      <c r="F142" s="51"/>
      <c r="G142" s="8"/>
      <c r="H142" s="46" t="e">
        <f>SUM(H139+H140+H141)</f>
        <v>#REF!</v>
      </c>
      <c r="I142" s="10"/>
      <c r="J142" s="46" t="e">
        <f>SUM(J139+J140+J141)</f>
        <v>#REF!</v>
      </c>
      <c r="K142" s="10"/>
      <c r="L142" s="16" t="e">
        <f>J142/H142</f>
        <v>#REF!</v>
      </c>
      <c r="M142" s="10"/>
      <c r="N142" s="16">
        <f>$F$1</f>
        <v>1</v>
      </c>
      <c r="O142" s="8"/>
      <c r="P142" s="46" t="e">
        <f>SUM(P139+P140+P141)</f>
        <v>#REF!</v>
      </c>
      <c r="Q142" s="10"/>
      <c r="R142" s="16">
        <f t="shared" si="56"/>
        <v>0</v>
      </c>
      <c r="S142" s="10"/>
      <c r="T142" s="40">
        <f t="shared" si="55"/>
        <v>0.9</v>
      </c>
      <c r="U142" s="8"/>
    </row>
    <row r="143" spans="1:21" ht="15.75" thickBot="1" x14ac:dyDescent="0.3">
      <c r="H143"/>
      <c r="J143"/>
      <c r="P143"/>
    </row>
    <row r="144" spans="1:21" ht="15.75" x14ac:dyDescent="0.25">
      <c r="A144" s="523" t="s">
        <v>41</v>
      </c>
      <c r="B144" s="50" t="s">
        <v>10</v>
      </c>
      <c r="C144" s="50"/>
      <c r="D144" s="50"/>
      <c r="E144" s="50"/>
      <c r="F144" s="51"/>
      <c r="G144" s="15"/>
      <c r="H144" s="46" t="e">
        <f>SUM(H59+H69+H74+H79+H84)</f>
        <v>#REF!</v>
      </c>
      <c r="I144" s="10"/>
      <c r="J144" s="46" t="e">
        <f>SUM(J59+J69+J74+J79+J84)</f>
        <v>#REF!</v>
      </c>
      <c r="K144" s="10"/>
      <c r="L144" s="16" t="e">
        <f>J144/H144</f>
        <v>#REF!</v>
      </c>
      <c r="M144" s="10"/>
      <c r="N144" s="16">
        <f>$F$1</f>
        <v>1</v>
      </c>
      <c r="O144" s="8"/>
      <c r="P144" s="46" t="e">
        <f>SUM(P59+P69+P74+P79+P84)</f>
        <v>#REF!</v>
      </c>
      <c r="Q144" s="10"/>
      <c r="R144" s="16">
        <f t="shared" ref="R144:R147" si="57">IFERROR(P144/J144,0)</f>
        <v>0</v>
      </c>
      <c r="S144" s="10"/>
      <c r="T144" s="40">
        <f t="shared" si="55"/>
        <v>0.9</v>
      </c>
    </row>
    <row r="145" spans="1:20" ht="15.75" x14ac:dyDescent="0.25">
      <c r="A145" s="524"/>
      <c r="B145" s="50" t="s">
        <v>11</v>
      </c>
      <c r="C145" s="50"/>
      <c r="D145" s="50"/>
      <c r="E145" s="50"/>
      <c r="F145" s="51"/>
      <c r="G145" s="15"/>
      <c r="H145" s="46" t="e">
        <f>SUM(H60+H70+H75+H80+H85)</f>
        <v>#REF!</v>
      </c>
      <c r="I145" s="10"/>
      <c r="J145" s="46" t="e">
        <f>SUM(J60+J70+J75+J80+J85)</f>
        <v>#REF!</v>
      </c>
      <c r="K145" s="10"/>
      <c r="L145" s="16" t="e">
        <f>J145/H145</f>
        <v>#REF!</v>
      </c>
      <c r="M145" s="10"/>
      <c r="N145" s="16">
        <f>$F$1</f>
        <v>1</v>
      </c>
      <c r="O145" s="8"/>
      <c r="P145" s="46" t="e">
        <f>SUM(P60+P70+P75+P80+P85)</f>
        <v>#REF!</v>
      </c>
      <c r="Q145" s="10"/>
      <c r="R145" s="16">
        <f t="shared" si="57"/>
        <v>0</v>
      </c>
      <c r="S145" s="10"/>
      <c r="T145" s="40">
        <f t="shared" si="55"/>
        <v>0.9</v>
      </c>
    </row>
    <row r="146" spans="1:20" ht="15.75" x14ac:dyDescent="0.25">
      <c r="A146" s="524"/>
      <c r="B146" s="50" t="s">
        <v>12</v>
      </c>
      <c r="C146" s="50"/>
      <c r="D146" s="50"/>
      <c r="E146" s="50"/>
      <c r="F146" s="51"/>
      <c r="G146" s="15"/>
      <c r="H146" s="46" t="e">
        <f>SUM(H61+H71+H76+H81+H86)</f>
        <v>#REF!</v>
      </c>
      <c r="I146" s="10"/>
      <c r="J146" s="46" t="e">
        <f>SUM(J61+J71+J76+J81+J86)</f>
        <v>#REF!</v>
      </c>
      <c r="K146" s="10"/>
      <c r="L146" s="16" t="e">
        <f>J146/H146</f>
        <v>#REF!</v>
      </c>
      <c r="M146" s="10"/>
      <c r="N146" s="16">
        <f>$F$1</f>
        <v>1</v>
      </c>
      <c r="O146" s="8"/>
      <c r="P146" s="46" t="e">
        <f>SUM(P61+P71+P76+P81+P86)</f>
        <v>#REF!</v>
      </c>
      <c r="Q146" s="10"/>
      <c r="R146" s="16">
        <f t="shared" si="57"/>
        <v>0</v>
      </c>
      <c r="S146" s="10"/>
      <c r="T146" s="40">
        <f t="shared" si="55"/>
        <v>0.9</v>
      </c>
    </row>
    <row r="147" spans="1:20" ht="15.75" thickBot="1" x14ac:dyDescent="0.3">
      <c r="A147" s="525"/>
      <c r="B147" s="50" t="s">
        <v>13</v>
      </c>
      <c r="C147" s="50"/>
      <c r="D147" s="50"/>
      <c r="E147" s="50"/>
      <c r="F147" s="51"/>
      <c r="G147" s="8"/>
      <c r="H147" s="46" t="e">
        <f>SUM(H144+H145+H146)</f>
        <v>#REF!</v>
      </c>
      <c r="I147" s="10"/>
      <c r="J147" s="46" t="e">
        <f>SUM(J144+J145+J146)</f>
        <v>#REF!</v>
      </c>
      <c r="K147" s="10"/>
      <c r="L147" s="16" t="e">
        <f>J147/H147</f>
        <v>#REF!</v>
      </c>
      <c r="M147" s="10"/>
      <c r="N147" s="16">
        <f>$F$1</f>
        <v>1</v>
      </c>
      <c r="O147" s="8"/>
      <c r="P147" s="46" t="e">
        <f>SUM(P144+P145+P146)</f>
        <v>#REF!</v>
      </c>
      <c r="Q147" s="10"/>
      <c r="R147" s="16">
        <f t="shared" si="57"/>
        <v>0</v>
      </c>
      <c r="S147" s="10"/>
      <c r="T147" s="40">
        <f t="shared" si="55"/>
        <v>0.9</v>
      </c>
    </row>
    <row r="148" spans="1:20" ht="15.75" thickBot="1" x14ac:dyDescent="0.3">
      <c r="H148"/>
      <c r="J148"/>
      <c r="P148"/>
    </row>
    <row r="149" spans="1:20" ht="15.75" x14ac:dyDescent="0.25">
      <c r="A149" s="526" t="s">
        <v>42</v>
      </c>
      <c r="B149" s="50" t="s">
        <v>10</v>
      </c>
      <c r="C149" s="50"/>
      <c r="D149" s="50"/>
      <c r="E149" s="50"/>
      <c r="F149" s="51"/>
      <c r="G149" s="15"/>
      <c r="H149" s="46" t="e">
        <f>SUM(H89+H94+H99+H104+H109+H114+H119)</f>
        <v>#REF!</v>
      </c>
      <c r="I149" s="10"/>
      <c r="J149" s="46" t="e">
        <f>SUM(J89+J94+J99+J104+J109+J114+J119)</f>
        <v>#REF!</v>
      </c>
      <c r="K149" s="10"/>
      <c r="L149" s="16" t="e">
        <f>J149/H149</f>
        <v>#REF!</v>
      </c>
      <c r="M149" s="10"/>
      <c r="N149" s="16">
        <f>$F$1</f>
        <v>1</v>
      </c>
      <c r="O149" s="8"/>
      <c r="P149" s="46" t="e">
        <f>SUM(P89+P94+P99+P104+P109+P114+P119)</f>
        <v>#REF!</v>
      </c>
      <c r="Q149" s="10"/>
      <c r="R149" s="16">
        <f t="shared" ref="R149:R152" si="58">IFERROR(P149/J149,0)</f>
        <v>0</v>
      </c>
      <c r="S149" s="10"/>
      <c r="T149" s="40">
        <f t="shared" si="55"/>
        <v>0.9</v>
      </c>
    </row>
    <row r="150" spans="1:20" ht="15.75" x14ac:dyDescent="0.25">
      <c r="A150" s="527"/>
      <c r="B150" s="50" t="s">
        <v>11</v>
      </c>
      <c r="C150" s="50"/>
      <c r="D150" s="50"/>
      <c r="E150" s="50"/>
      <c r="F150" s="51"/>
      <c r="G150" s="15"/>
      <c r="H150" s="46" t="e">
        <f>SUM(H90+H95+H100+H105+H110+H115+H120)</f>
        <v>#REF!</v>
      </c>
      <c r="I150" s="10"/>
      <c r="J150" s="46" t="e">
        <f>SUM(J90+J95+J100+J105+J110+J115+J120)</f>
        <v>#REF!</v>
      </c>
      <c r="K150" s="10"/>
      <c r="L150" s="16" t="e">
        <f>J150/H150</f>
        <v>#REF!</v>
      </c>
      <c r="M150" s="10"/>
      <c r="N150" s="16">
        <f>$F$1</f>
        <v>1</v>
      </c>
      <c r="O150" s="8"/>
      <c r="P150" s="46" t="e">
        <f>SUM(P90+P95+P100+P105+P110+P115+P120)</f>
        <v>#REF!</v>
      </c>
      <c r="Q150" s="10"/>
      <c r="R150" s="16">
        <f t="shared" si="58"/>
        <v>0</v>
      </c>
      <c r="S150" s="10"/>
      <c r="T150" s="40">
        <f t="shared" si="55"/>
        <v>0.9</v>
      </c>
    </row>
    <row r="151" spans="1:20" ht="15.75" x14ac:dyDescent="0.25">
      <c r="A151" s="527"/>
      <c r="B151" s="50" t="s">
        <v>12</v>
      </c>
      <c r="C151" s="50"/>
      <c r="D151" s="50"/>
      <c r="E151" s="50"/>
      <c r="F151" s="51"/>
      <c r="G151" s="15"/>
      <c r="H151" s="46" t="e">
        <f>SUM(H91+H96+H101+H106+H111+H116+H121)</f>
        <v>#REF!</v>
      </c>
      <c r="I151" s="10"/>
      <c r="J151" s="46" t="e">
        <f>SUM(J91+J96+J101+J106+J111+J116+J121)</f>
        <v>#REF!</v>
      </c>
      <c r="K151" s="10"/>
      <c r="L151" s="16" t="e">
        <f>J151/H151</f>
        <v>#REF!</v>
      </c>
      <c r="M151" s="10"/>
      <c r="N151" s="16">
        <f>$F$1</f>
        <v>1</v>
      </c>
      <c r="O151" s="8"/>
      <c r="P151" s="46" t="e">
        <f>SUM(P91+P96+P101+P106+P111+P116+P121)</f>
        <v>#REF!</v>
      </c>
      <c r="Q151" s="10"/>
      <c r="R151" s="16">
        <f t="shared" si="58"/>
        <v>0</v>
      </c>
      <c r="S151" s="10"/>
      <c r="T151" s="40">
        <f t="shared" si="55"/>
        <v>0.9</v>
      </c>
    </row>
    <row r="152" spans="1:20" ht="15.75" thickBot="1" x14ac:dyDescent="0.3">
      <c r="A152" s="528"/>
      <c r="B152" s="50" t="s">
        <v>13</v>
      </c>
      <c r="C152" s="50"/>
      <c r="D152" s="50"/>
      <c r="E152" s="50"/>
      <c r="F152" s="51"/>
      <c r="G152" s="8"/>
      <c r="H152" s="46" t="e">
        <f>SUM(H149+H150+H151)</f>
        <v>#REF!</v>
      </c>
      <c r="I152" s="10"/>
      <c r="J152" s="46" t="e">
        <f>SUM(J149+J150+J151)</f>
        <v>#REF!</v>
      </c>
      <c r="K152" s="10"/>
      <c r="L152" s="16" t="e">
        <f>J152/H152</f>
        <v>#REF!</v>
      </c>
      <c r="M152" s="10"/>
      <c r="N152" s="16">
        <f>$F$1</f>
        <v>1</v>
      </c>
      <c r="O152" s="8"/>
      <c r="P152" s="46" t="e">
        <f>SUM(P149+P150+P151)</f>
        <v>#REF!</v>
      </c>
      <c r="Q152" s="10"/>
      <c r="R152" s="16">
        <f t="shared" si="58"/>
        <v>0</v>
      </c>
      <c r="S152" s="10"/>
      <c r="T152" s="40">
        <f t="shared" si="55"/>
        <v>0.9</v>
      </c>
    </row>
    <row r="153" spans="1:20" ht="15.75" thickBot="1" x14ac:dyDescent="0.3">
      <c r="H153"/>
      <c r="J153"/>
      <c r="P153"/>
    </row>
    <row r="154" spans="1:20" ht="29.25" customHeight="1" thickBot="1" x14ac:dyDescent="0.3">
      <c r="E154" s="149" t="s">
        <v>43</v>
      </c>
      <c r="F154" s="150"/>
      <c r="H154" s="151" t="e">
        <f>SUM(H137+H142+H148+H152)</f>
        <v>#REF!</v>
      </c>
      <c r="J154" s="151" t="e">
        <f>SUM(J137+J142+J147+J152)</f>
        <v>#REF!</v>
      </c>
      <c r="L154" s="152" t="e">
        <f>SUM(J154/H154)</f>
        <v>#REF!</v>
      </c>
      <c r="N154" s="16">
        <f>$F$1</f>
        <v>1</v>
      </c>
      <c r="P154" s="151" t="e">
        <f>SUM(P137+P142+P147+P152)</f>
        <v>#REF!</v>
      </c>
      <c r="R154" s="152">
        <f>IFERROR(P154/J154,0)</f>
        <v>0</v>
      </c>
      <c r="T154" s="153">
        <f>IFERROR(P154/J154,0)</f>
        <v>0</v>
      </c>
    </row>
  </sheetData>
  <sheetProtection sheet="1" objects="1" scenarios="1"/>
  <mergeCells count="134">
    <mergeCell ref="A134:A137"/>
    <mergeCell ref="A139:A142"/>
    <mergeCell ref="A144:A147"/>
    <mergeCell ref="A149:A152"/>
    <mergeCell ref="A124:A127"/>
    <mergeCell ref="B124:F124"/>
    <mergeCell ref="B125:F125"/>
    <mergeCell ref="B126:F126"/>
    <mergeCell ref="B127:F127"/>
    <mergeCell ref="A129:A132"/>
    <mergeCell ref="B129:F129"/>
    <mergeCell ref="B130:F130"/>
    <mergeCell ref="B131:F131"/>
    <mergeCell ref="B132:F132"/>
    <mergeCell ref="A114:A117"/>
    <mergeCell ref="B114:F114"/>
    <mergeCell ref="B115:F115"/>
    <mergeCell ref="B116:F116"/>
    <mergeCell ref="B117:F117"/>
    <mergeCell ref="A119:A122"/>
    <mergeCell ref="B119:F119"/>
    <mergeCell ref="B120:F120"/>
    <mergeCell ref="B121:F121"/>
    <mergeCell ref="B122:F122"/>
    <mergeCell ref="A104:A107"/>
    <mergeCell ref="B104:F104"/>
    <mergeCell ref="B105:F105"/>
    <mergeCell ref="B106:F106"/>
    <mergeCell ref="B107:F107"/>
    <mergeCell ref="A109:A112"/>
    <mergeCell ref="B109:F109"/>
    <mergeCell ref="B110:F110"/>
    <mergeCell ref="B111:F111"/>
    <mergeCell ref="B112:F112"/>
    <mergeCell ref="A94:A97"/>
    <mergeCell ref="B94:F94"/>
    <mergeCell ref="B95:F95"/>
    <mergeCell ref="B96:F96"/>
    <mergeCell ref="B97:F97"/>
    <mergeCell ref="A99:A102"/>
    <mergeCell ref="B99:F99"/>
    <mergeCell ref="B100:F100"/>
    <mergeCell ref="B101:F101"/>
    <mergeCell ref="B102:F102"/>
    <mergeCell ref="A84:A87"/>
    <mergeCell ref="B84:F84"/>
    <mergeCell ref="B85:F85"/>
    <mergeCell ref="B86:F86"/>
    <mergeCell ref="B87:F87"/>
    <mergeCell ref="A89:A92"/>
    <mergeCell ref="B89:F89"/>
    <mergeCell ref="B90:F90"/>
    <mergeCell ref="B91:F91"/>
    <mergeCell ref="B92:F92"/>
    <mergeCell ref="A74:A77"/>
    <mergeCell ref="B74:F74"/>
    <mergeCell ref="B75:F75"/>
    <mergeCell ref="B76:F76"/>
    <mergeCell ref="B77:F77"/>
    <mergeCell ref="A79:A82"/>
    <mergeCell ref="B79:F79"/>
    <mergeCell ref="B80:F80"/>
    <mergeCell ref="B81:F81"/>
    <mergeCell ref="B82:F82"/>
    <mergeCell ref="A64:A67"/>
    <mergeCell ref="B64:F64"/>
    <mergeCell ref="B65:F65"/>
    <mergeCell ref="B66:F66"/>
    <mergeCell ref="B67:F67"/>
    <mergeCell ref="A69:A72"/>
    <mergeCell ref="B69:F69"/>
    <mergeCell ref="B70:F70"/>
    <mergeCell ref="B71:F71"/>
    <mergeCell ref="B72:F72"/>
    <mergeCell ref="A54:A57"/>
    <mergeCell ref="B54:F54"/>
    <mergeCell ref="B55:F55"/>
    <mergeCell ref="B56:F56"/>
    <mergeCell ref="B57:F57"/>
    <mergeCell ref="A59:A62"/>
    <mergeCell ref="B59:F59"/>
    <mergeCell ref="B60:F60"/>
    <mergeCell ref="B61:F61"/>
    <mergeCell ref="B62:F62"/>
    <mergeCell ref="A44:A47"/>
    <mergeCell ref="B44:F44"/>
    <mergeCell ref="B45:F45"/>
    <mergeCell ref="B46:F46"/>
    <mergeCell ref="B47:F47"/>
    <mergeCell ref="A49:A52"/>
    <mergeCell ref="B49:F49"/>
    <mergeCell ref="B50:F50"/>
    <mergeCell ref="B51:F51"/>
    <mergeCell ref="B52:F52"/>
    <mergeCell ref="A34:A37"/>
    <mergeCell ref="B34:F34"/>
    <mergeCell ref="B35:F35"/>
    <mergeCell ref="B36:F36"/>
    <mergeCell ref="B37:F37"/>
    <mergeCell ref="A39:A42"/>
    <mergeCell ref="B39:F39"/>
    <mergeCell ref="B40:F40"/>
    <mergeCell ref="B41:F41"/>
    <mergeCell ref="B42:F42"/>
    <mergeCell ref="A24:A27"/>
    <mergeCell ref="B24:F24"/>
    <mergeCell ref="B25:F25"/>
    <mergeCell ref="B26:F26"/>
    <mergeCell ref="B27:F27"/>
    <mergeCell ref="A29:A32"/>
    <mergeCell ref="B29:F29"/>
    <mergeCell ref="B30:F30"/>
    <mergeCell ref="B31:F31"/>
    <mergeCell ref="B32:F32"/>
    <mergeCell ref="A14:A17"/>
    <mergeCell ref="B14:F14"/>
    <mergeCell ref="B15:F15"/>
    <mergeCell ref="B16:F16"/>
    <mergeCell ref="B17:F17"/>
    <mergeCell ref="A19:A22"/>
    <mergeCell ref="B19:F19"/>
    <mergeCell ref="B20:F20"/>
    <mergeCell ref="B21:F21"/>
    <mergeCell ref="B22:F22"/>
    <mergeCell ref="A4:A7"/>
    <mergeCell ref="B4:F4"/>
    <mergeCell ref="B5:F5"/>
    <mergeCell ref="B6:F6"/>
    <mergeCell ref="B7:F7"/>
    <mergeCell ref="A9:A12"/>
    <mergeCell ref="B9:F9"/>
    <mergeCell ref="B10:F10"/>
    <mergeCell ref="B11:F11"/>
    <mergeCell ref="B12:F12"/>
  </mergeCells>
  <conditionalFormatting sqref="N4:N7 N9:N12 N14:N17 N19:N22 N24:N27 N29:N32 N34:N37 N39:N42 N44:N47 N49:N52 N54:N57 N59:N62 N64:N67 N69:N72 N74:N77 N79:N82 N84:N87 N89:N92 N94:N97 N99:N102 N104:N107 N109:N112 N114:N117 N119:N122 N124:N127 N129:N132 N134:N137 N139:N142 N144:N147 N149:N152 N154">
    <cfRule type="expression" dxfId="235" priority="4">
      <formula>$L4=$N4</formula>
    </cfRule>
    <cfRule type="expression" dxfId="234" priority="5">
      <formula>$L4&gt;$N4</formula>
    </cfRule>
    <cfRule type="expression" dxfId="233" priority="6">
      <formula>$L4&lt;$N4</formula>
    </cfRule>
  </conditionalFormatting>
  <conditionalFormatting sqref="T4:T7 T9:T12 T14:T17 T19:T22 T24:T27 T29:T32 T34:T37 T39:T42 T44:T47 T49:T52 T54:T57 T59:T62 T64:T67 T69:T72 T74:T77 T79:T82 T84:T87 T89:T92 T94:T97 T99:T102 T104:T107 T109:T112 T114:T117 T119:T122 T124:T127 T129:T132 T134:T137 T139:T142 T144:T147 T149:T152 T154">
    <cfRule type="expression" dxfId="232" priority="1">
      <formula>$R4=$T4</formula>
    </cfRule>
    <cfRule type="expression" dxfId="231" priority="2">
      <formula>$R4&gt;$T4</formula>
    </cfRule>
    <cfRule type="expression" dxfId="230" priority="3">
      <formula>$R4&lt;$T4</formula>
    </cfRule>
  </conditionalFormatting>
  <pageMargins left="0.7" right="0.7" top="0.75" bottom="0.75" header="0.3" footer="0.3"/>
  <pageSetup paperSize="9" scale="45" fitToWidth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573"/>
  <sheetViews>
    <sheetView topLeftCell="A82" workbookViewId="0">
      <selection activeCell="E2" sqref="E2"/>
    </sheetView>
  </sheetViews>
  <sheetFormatPr defaultRowHeight="15" x14ac:dyDescent="0.25"/>
  <sheetData>
    <row r="1" spans="1:2" x14ac:dyDescent="0.25">
      <c r="A1" s="359" t="s">
        <v>1088</v>
      </c>
      <c r="B1" t="s">
        <v>1088</v>
      </c>
    </row>
    <row r="2" spans="1:2" x14ac:dyDescent="0.25">
      <c r="A2" s="359" t="s">
        <v>59</v>
      </c>
      <c r="B2" t="s">
        <v>59</v>
      </c>
    </row>
    <row r="3" spans="1:2" x14ac:dyDescent="0.25">
      <c r="A3" s="180" t="s">
        <v>61</v>
      </c>
      <c r="B3" t="s">
        <v>61</v>
      </c>
    </row>
    <row r="4" spans="1:2" x14ac:dyDescent="0.25">
      <c r="A4" s="359" t="s">
        <v>988</v>
      </c>
      <c r="B4" t="s">
        <v>988</v>
      </c>
    </row>
    <row r="5" spans="1:2" x14ac:dyDescent="0.25">
      <c r="A5" s="359" t="s">
        <v>69</v>
      </c>
      <c r="B5" t="s">
        <v>69</v>
      </c>
    </row>
    <row r="6" spans="1:2" x14ac:dyDescent="0.25">
      <c r="A6" s="359" t="s">
        <v>71</v>
      </c>
      <c r="B6" t="s">
        <v>71</v>
      </c>
    </row>
    <row r="7" spans="1:2" x14ac:dyDescent="0.25">
      <c r="A7" s="359" t="s">
        <v>1089</v>
      </c>
      <c r="B7" t="s">
        <v>1089</v>
      </c>
    </row>
    <row r="8" spans="1:2" x14ac:dyDescent="0.25">
      <c r="A8" s="359" t="s">
        <v>1090</v>
      </c>
      <c r="B8" t="s">
        <v>1090</v>
      </c>
    </row>
    <row r="9" spans="1:2" x14ac:dyDescent="0.25">
      <c r="A9" s="359" t="s">
        <v>82</v>
      </c>
      <c r="B9" t="s">
        <v>82</v>
      </c>
    </row>
    <row r="10" spans="1:2" x14ac:dyDescent="0.25">
      <c r="A10" s="180" t="s">
        <v>86</v>
      </c>
      <c r="B10" t="s">
        <v>86</v>
      </c>
    </row>
    <row r="11" spans="1:2" x14ac:dyDescent="0.25">
      <c r="A11" s="359" t="s">
        <v>94</v>
      </c>
      <c r="B11" t="s">
        <v>94</v>
      </c>
    </row>
    <row r="12" spans="1:2" x14ac:dyDescent="0.25">
      <c r="A12" s="180" t="s">
        <v>98</v>
      </c>
      <c r="B12" t="s">
        <v>98</v>
      </c>
    </row>
    <row r="13" spans="1:2" x14ac:dyDescent="0.25">
      <c r="A13" s="180" t="s">
        <v>99</v>
      </c>
      <c r="B13" t="s">
        <v>99</v>
      </c>
    </row>
    <row r="14" spans="1:2" x14ac:dyDescent="0.25">
      <c r="A14" s="180" t="s">
        <v>101</v>
      </c>
      <c r="B14" t="s">
        <v>1321</v>
      </c>
    </row>
    <row r="15" spans="1:2" x14ac:dyDescent="0.25">
      <c r="A15" s="359" t="s">
        <v>102</v>
      </c>
      <c r="B15" t="s">
        <v>102</v>
      </c>
    </row>
    <row r="16" spans="1:2" x14ac:dyDescent="0.25">
      <c r="A16" s="359" t="s">
        <v>103</v>
      </c>
      <c r="B16" t="s">
        <v>103</v>
      </c>
    </row>
    <row r="17" spans="1:2" x14ac:dyDescent="0.25">
      <c r="A17" s="180" t="s">
        <v>106</v>
      </c>
      <c r="B17" t="s">
        <v>106</v>
      </c>
    </row>
    <row r="18" spans="1:2" x14ac:dyDescent="0.25">
      <c r="A18" s="180" t="s">
        <v>108</v>
      </c>
      <c r="B18" t="s">
        <v>108</v>
      </c>
    </row>
    <row r="19" spans="1:2" x14ac:dyDescent="0.25">
      <c r="A19" s="359" t="s">
        <v>109</v>
      </c>
      <c r="B19" t="s">
        <v>109</v>
      </c>
    </row>
    <row r="20" spans="1:2" x14ac:dyDescent="0.25">
      <c r="A20" s="180" t="s">
        <v>112</v>
      </c>
      <c r="B20" t="s">
        <v>112</v>
      </c>
    </row>
    <row r="21" spans="1:2" x14ac:dyDescent="0.25">
      <c r="A21" s="359" t="s">
        <v>120</v>
      </c>
      <c r="B21" t="s">
        <v>120</v>
      </c>
    </row>
    <row r="22" spans="1:2" x14ac:dyDescent="0.25">
      <c r="A22" s="359" t="s">
        <v>122</v>
      </c>
      <c r="B22" t="s">
        <v>122</v>
      </c>
    </row>
    <row r="23" spans="1:2" x14ac:dyDescent="0.25">
      <c r="A23" s="359" t="s">
        <v>124</v>
      </c>
      <c r="B23" t="s">
        <v>124</v>
      </c>
    </row>
    <row r="24" spans="1:2" x14ac:dyDescent="0.25">
      <c r="A24" s="180" t="s">
        <v>126</v>
      </c>
      <c r="B24" t="s">
        <v>126</v>
      </c>
    </row>
    <row r="25" spans="1:2" x14ac:dyDescent="0.25">
      <c r="A25" s="359" t="s">
        <v>127</v>
      </c>
      <c r="B25" t="s">
        <v>127</v>
      </c>
    </row>
    <row r="26" spans="1:2" x14ac:dyDescent="0.25">
      <c r="A26" s="359" t="s">
        <v>992</v>
      </c>
      <c r="B26" t="s">
        <v>992</v>
      </c>
    </row>
    <row r="27" spans="1:2" x14ac:dyDescent="0.25">
      <c r="A27" s="359" t="s">
        <v>1091</v>
      </c>
      <c r="B27" t="s">
        <v>1091</v>
      </c>
    </row>
    <row r="28" spans="1:2" x14ac:dyDescent="0.25">
      <c r="A28" s="359" t="s">
        <v>132</v>
      </c>
      <c r="B28" t="s">
        <v>132</v>
      </c>
    </row>
    <row r="29" spans="1:2" x14ac:dyDescent="0.25">
      <c r="A29" s="359" t="s">
        <v>135</v>
      </c>
      <c r="B29" t="s">
        <v>135</v>
      </c>
    </row>
    <row r="30" spans="1:2" x14ac:dyDescent="0.25">
      <c r="A30" s="359" t="s">
        <v>137</v>
      </c>
      <c r="B30" t="s">
        <v>137</v>
      </c>
    </row>
    <row r="31" spans="1:2" x14ac:dyDescent="0.25">
      <c r="A31" s="180" t="s">
        <v>138</v>
      </c>
      <c r="B31" t="s">
        <v>138</v>
      </c>
    </row>
    <row r="32" spans="1:2" x14ac:dyDescent="0.25">
      <c r="A32" s="360" t="s">
        <v>142</v>
      </c>
      <c r="B32" t="s">
        <v>142</v>
      </c>
    </row>
    <row r="33" spans="1:2" x14ac:dyDescent="0.25">
      <c r="A33" s="360" t="s">
        <v>143</v>
      </c>
      <c r="B33" t="s">
        <v>143</v>
      </c>
    </row>
    <row r="34" spans="1:2" x14ac:dyDescent="0.25">
      <c r="A34" s="180" t="s">
        <v>144</v>
      </c>
      <c r="B34" t="s">
        <v>144</v>
      </c>
    </row>
    <row r="35" spans="1:2" x14ac:dyDescent="0.25">
      <c r="A35" s="180" t="s">
        <v>145</v>
      </c>
      <c r="B35" t="s">
        <v>145</v>
      </c>
    </row>
    <row r="36" spans="1:2" x14ac:dyDescent="0.25">
      <c r="A36" s="180" t="s">
        <v>146</v>
      </c>
      <c r="B36" t="s">
        <v>146</v>
      </c>
    </row>
    <row r="37" spans="1:2" x14ac:dyDescent="0.25">
      <c r="A37" s="180" t="s">
        <v>147</v>
      </c>
      <c r="B37" t="s">
        <v>147</v>
      </c>
    </row>
    <row r="38" spans="1:2" x14ac:dyDescent="0.25">
      <c r="A38" s="180" t="s">
        <v>148</v>
      </c>
      <c r="B38" t="s">
        <v>148</v>
      </c>
    </row>
    <row r="39" spans="1:2" x14ac:dyDescent="0.25">
      <c r="A39" s="359" t="s">
        <v>151</v>
      </c>
      <c r="B39" t="s">
        <v>151</v>
      </c>
    </row>
    <row r="40" spans="1:2" x14ac:dyDescent="0.25">
      <c r="A40" s="180" t="s">
        <v>154</v>
      </c>
      <c r="B40" t="s">
        <v>154</v>
      </c>
    </row>
    <row r="41" spans="1:2" x14ac:dyDescent="0.25">
      <c r="A41" s="180" t="s">
        <v>157</v>
      </c>
      <c r="B41" t="s">
        <v>157</v>
      </c>
    </row>
    <row r="42" spans="1:2" x14ac:dyDescent="0.25">
      <c r="A42" s="359" t="s">
        <v>160</v>
      </c>
      <c r="B42" t="s">
        <v>160</v>
      </c>
    </row>
    <row r="43" spans="1:2" x14ac:dyDescent="0.25">
      <c r="A43" s="180" t="s">
        <v>161</v>
      </c>
      <c r="B43" t="s">
        <v>161</v>
      </c>
    </row>
    <row r="44" spans="1:2" x14ac:dyDescent="0.25">
      <c r="A44" s="359" t="s">
        <v>167</v>
      </c>
      <c r="B44" t="s">
        <v>167</v>
      </c>
    </row>
    <row r="45" spans="1:2" x14ac:dyDescent="0.25">
      <c r="A45" s="359" t="s">
        <v>169</v>
      </c>
      <c r="B45" t="s">
        <v>169</v>
      </c>
    </row>
    <row r="46" spans="1:2" x14ac:dyDescent="0.25">
      <c r="A46" s="359" t="s">
        <v>1093</v>
      </c>
      <c r="B46" t="s">
        <v>1093</v>
      </c>
    </row>
    <row r="47" spans="1:2" x14ac:dyDescent="0.25">
      <c r="A47" s="180" t="s">
        <v>171</v>
      </c>
      <c r="B47" t="s">
        <v>1320</v>
      </c>
    </row>
    <row r="48" spans="1:2" x14ac:dyDescent="0.25">
      <c r="A48" s="359" t="s">
        <v>175</v>
      </c>
      <c r="B48" t="s">
        <v>175</v>
      </c>
    </row>
    <row r="49" spans="1:2" x14ac:dyDescent="0.25">
      <c r="A49" s="180" t="s">
        <v>176</v>
      </c>
      <c r="B49" t="s">
        <v>176</v>
      </c>
    </row>
    <row r="50" spans="1:2" x14ac:dyDescent="0.25">
      <c r="A50" s="359" t="s">
        <v>177</v>
      </c>
      <c r="B50" t="s">
        <v>177</v>
      </c>
    </row>
    <row r="51" spans="1:2" x14ac:dyDescent="0.25">
      <c r="A51" s="359" t="s">
        <v>178</v>
      </c>
      <c r="B51" t="s">
        <v>178</v>
      </c>
    </row>
    <row r="52" spans="1:2" x14ac:dyDescent="0.25">
      <c r="A52" s="359" t="s">
        <v>180</v>
      </c>
      <c r="B52" t="s">
        <v>180</v>
      </c>
    </row>
    <row r="53" spans="1:2" x14ac:dyDescent="0.25">
      <c r="A53" s="359" t="s">
        <v>181</v>
      </c>
      <c r="B53" t="s">
        <v>181</v>
      </c>
    </row>
    <row r="54" spans="1:2" x14ac:dyDescent="0.25">
      <c r="A54" s="359" t="s">
        <v>182</v>
      </c>
      <c r="B54" t="s">
        <v>182</v>
      </c>
    </row>
    <row r="55" spans="1:2" x14ac:dyDescent="0.25">
      <c r="A55" s="359" t="s">
        <v>183</v>
      </c>
      <c r="B55" t="s">
        <v>183</v>
      </c>
    </row>
    <row r="56" spans="1:2" x14ac:dyDescent="0.25">
      <c r="A56" s="359" t="s">
        <v>184</v>
      </c>
      <c r="B56" t="s">
        <v>184</v>
      </c>
    </row>
    <row r="57" spans="1:2" x14ac:dyDescent="0.25">
      <c r="A57" s="359" t="s">
        <v>185</v>
      </c>
      <c r="B57" t="s">
        <v>185</v>
      </c>
    </row>
    <row r="58" spans="1:2" x14ac:dyDescent="0.25">
      <c r="A58" s="359" t="s">
        <v>186</v>
      </c>
      <c r="B58" t="s">
        <v>186</v>
      </c>
    </row>
    <row r="59" spans="1:2" x14ac:dyDescent="0.25">
      <c r="A59" s="359" t="s">
        <v>187</v>
      </c>
      <c r="B59" t="s">
        <v>187</v>
      </c>
    </row>
    <row r="60" spans="1:2" x14ac:dyDescent="0.25">
      <c r="A60" s="359" t="s">
        <v>188</v>
      </c>
      <c r="B60" t="s">
        <v>188</v>
      </c>
    </row>
    <row r="61" spans="1:2" x14ac:dyDescent="0.25">
      <c r="A61" s="359" t="s">
        <v>189</v>
      </c>
      <c r="B61" t="s">
        <v>189</v>
      </c>
    </row>
    <row r="62" spans="1:2" x14ac:dyDescent="0.25">
      <c r="A62" s="359" t="s">
        <v>190</v>
      </c>
      <c r="B62" t="s">
        <v>190</v>
      </c>
    </row>
    <row r="63" spans="1:2" x14ac:dyDescent="0.25">
      <c r="A63" s="359" t="s">
        <v>191</v>
      </c>
      <c r="B63" t="s">
        <v>191</v>
      </c>
    </row>
    <row r="64" spans="1:2" x14ac:dyDescent="0.25">
      <c r="A64" s="359" t="s">
        <v>192</v>
      </c>
      <c r="B64" t="s">
        <v>192</v>
      </c>
    </row>
    <row r="65" spans="1:2" x14ac:dyDescent="0.25">
      <c r="A65" s="359" t="s">
        <v>193</v>
      </c>
      <c r="B65" t="s">
        <v>193</v>
      </c>
    </row>
    <row r="66" spans="1:2" x14ac:dyDescent="0.25">
      <c r="A66" s="359" t="s">
        <v>194</v>
      </c>
      <c r="B66" t="s">
        <v>194</v>
      </c>
    </row>
    <row r="67" spans="1:2" x14ac:dyDescent="0.25">
      <c r="A67" s="360" t="s">
        <v>195</v>
      </c>
      <c r="B67" t="s">
        <v>195</v>
      </c>
    </row>
    <row r="68" spans="1:2" x14ac:dyDescent="0.25">
      <c r="A68" s="361" t="s">
        <v>196</v>
      </c>
      <c r="B68" t="s">
        <v>1322</v>
      </c>
    </row>
    <row r="69" spans="1:2" x14ac:dyDescent="0.25">
      <c r="A69" s="180" t="s">
        <v>197</v>
      </c>
      <c r="B69" t="s">
        <v>1323</v>
      </c>
    </row>
    <row r="70" spans="1:2" x14ac:dyDescent="0.25">
      <c r="A70" s="180" t="s">
        <v>200</v>
      </c>
      <c r="B70" t="s">
        <v>200</v>
      </c>
    </row>
    <row r="71" spans="1:2" x14ac:dyDescent="0.25">
      <c r="A71" s="180" t="s">
        <v>205</v>
      </c>
      <c r="B71" t="s">
        <v>205</v>
      </c>
    </row>
    <row r="72" spans="1:2" x14ac:dyDescent="0.25">
      <c r="A72" s="179" t="s">
        <v>206</v>
      </c>
      <c r="B72" t="s">
        <v>206</v>
      </c>
    </row>
    <row r="73" spans="1:2" x14ac:dyDescent="0.25">
      <c r="A73" s="180" t="s">
        <v>209</v>
      </c>
      <c r="B73" t="s">
        <v>209</v>
      </c>
    </row>
    <row r="74" spans="1:2" x14ac:dyDescent="0.25">
      <c r="A74" s="180" t="s">
        <v>211</v>
      </c>
      <c r="B74" t="s">
        <v>211</v>
      </c>
    </row>
    <row r="75" spans="1:2" x14ac:dyDescent="0.25">
      <c r="A75" s="180" t="s">
        <v>212</v>
      </c>
      <c r="B75" t="s">
        <v>212</v>
      </c>
    </row>
    <row r="76" spans="1:2" x14ac:dyDescent="0.25">
      <c r="A76" s="360" t="s">
        <v>213</v>
      </c>
      <c r="B76" t="s">
        <v>213</v>
      </c>
    </row>
    <row r="77" spans="1:2" x14ac:dyDescent="0.25">
      <c r="A77" s="360" t="s">
        <v>215</v>
      </c>
      <c r="B77" t="s">
        <v>215</v>
      </c>
    </row>
    <row r="78" spans="1:2" x14ac:dyDescent="0.25">
      <c r="A78" s="180" t="s">
        <v>216</v>
      </c>
      <c r="B78" t="s">
        <v>1324</v>
      </c>
    </row>
    <row r="79" spans="1:2" x14ac:dyDescent="0.25">
      <c r="A79" s="180" t="s">
        <v>218</v>
      </c>
      <c r="B79" t="s">
        <v>218</v>
      </c>
    </row>
    <row r="80" spans="1:2" x14ac:dyDescent="0.25">
      <c r="A80" s="180" t="s">
        <v>219</v>
      </c>
      <c r="B80" t="s">
        <v>219</v>
      </c>
    </row>
    <row r="81" spans="1:2" x14ac:dyDescent="0.25">
      <c r="A81" s="180" t="s">
        <v>220</v>
      </c>
      <c r="B81" t="s">
        <v>220</v>
      </c>
    </row>
    <row r="82" spans="1:2" x14ac:dyDescent="0.25">
      <c r="A82" s="180" t="s">
        <v>222</v>
      </c>
      <c r="B82" t="s">
        <v>222</v>
      </c>
    </row>
    <row r="83" spans="1:2" ht="23.25" x14ac:dyDescent="0.25">
      <c r="A83" s="332" t="s">
        <v>223</v>
      </c>
      <c r="B83" t="s">
        <v>223</v>
      </c>
    </row>
    <row r="84" spans="1:2" x14ac:dyDescent="0.25">
      <c r="A84" s="180" t="s">
        <v>224</v>
      </c>
      <c r="B84" t="s">
        <v>224</v>
      </c>
    </row>
    <row r="85" spans="1:2" x14ac:dyDescent="0.25">
      <c r="A85" s="360" t="s">
        <v>225</v>
      </c>
      <c r="B85" t="s">
        <v>225</v>
      </c>
    </row>
    <row r="86" spans="1:2" x14ac:dyDescent="0.25">
      <c r="A86" s="360" t="s">
        <v>227</v>
      </c>
      <c r="B86" t="s">
        <v>227</v>
      </c>
    </row>
    <row r="87" spans="1:2" x14ac:dyDescent="0.25">
      <c r="A87" s="180" t="s">
        <v>231</v>
      </c>
      <c r="B87" t="s">
        <v>1325</v>
      </c>
    </row>
    <row r="88" spans="1:2" x14ac:dyDescent="0.25">
      <c r="A88" s="180" t="s">
        <v>232</v>
      </c>
      <c r="B88" t="s">
        <v>232</v>
      </c>
    </row>
    <row r="89" spans="1:2" x14ac:dyDescent="0.25">
      <c r="A89" s="360" t="s">
        <v>991</v>
      </c>
      <c r="B89" t="s">
        <v>991</v>
      </c>
    </row>
    <row r="90" spans="1:2" x14ac:dyDescent="0.25">
      <c r="A90" s="180" t="s">
        <v>234</v>
      </c>
      <c r="B90" t="s">
        <v>234</v>
      </c>
    </row>
    <row r="91" spans="1:2" x14ac:dyDescent="0.25">
      <c r="A91" s="362" t="s">
        <v>235</v>
      </c>
      <c r="B91" t="s">
        <v>235</v>
      </c>
    </row>
    <row r="92" spans="1:2" x14ac:dyDescent="0.25">
      <c r="A92" s="362" t="s">
        <v>236</v>
      </c>
      <c r="B92" t="s">
        <v>236</v>
      </c>
    </row>
    <row r="93" spans="1:2" x14ac:dyDescent="0.25">
      <c r="A93" s="180" t="s">
        <v>237</v>
      </c>
      <c r="B93" t="s">
        <v>237</v>
      </c>
    </row>
    <row r="94" spans="1:2" x14ac:dyDescent="0.25">
      <c r="A94" s="180" t="s">
        <v>238</v>
      </c>
      <c r="B94" t="s">
        <v>238</v>
      </c>
    </row>
    <row r="95" spans="1:2" x14ac:dyDescent="0.25">
      <c r="A95" s="180" t="s">
        <v>239</v>
      </c>
      <c r="B95" t="s">
        <v>239</v>
      </c>
    </row>
    <row r="96" spans="1:2" x14ac:dyDescent="0.25">
      <c r="A96" s="180" t="s">
        <v>240</v>
      </c>
      <c r="B96" t="s">
        <v>240</v>
      </c>
    </row>
    <row r="97" spans="1:2" x14ac:dyDescent="0.25">
      <c r="A97" s="180" t="s">
        <v>241</v>
      </c>
      <c r="B97" t="s">
        <v>241</v>
      </c>
    </row>
    <row r="98" spans="1:2" x14ac:dyDescent="0.25">
      <c r="A98" s="180" t="s">
        <v>242</v>
      </c>
      <c r="B98" t="s">
        <v>242</v>
      </c>
    </row>
    <row r="99" spans="1:2" x14ac:dyDescent="0.25">
      <c r="A99" s="180" t="s">
        <v>243</v>
      </c>
      <c r="B99" t="s">
        <v>1326</v>
      </c>
    </row>
    <row r="100" spans="1:2" x14ac:dyDescent="0.25">
      <c r="A100" s="180" t="s">
        <v>244</v>
      </c>
      <c r="B100" t="s">
        <v>244</v>
      </c>
    </row>
    <row r="101" spans="1:2" x14ac:dyDescent="0.25">
      <c r="A101" s="180" t="s">
        <v>245</v>
      </c>
      <c r="B101" t="s">
        <v>245</v>
      </c>
    </row>
    <row r="102" spans="1:2" x14ac:dyDescent="0.25">
      <c r="A102" s="180" t="s">
        <v>246</v>
      </c>
      <c r="B102" t="s">
        <v>1327</v>
      </c>
    </row>
    <row r="103" spans="1:2" x14ac:dyDescent="0.25">
      <c r="A103" s="180" t="s">
        <v>247</v>
      </c>
      <c r="B103" t="s">
        <v>1328</v>
      </c>
    </row>
    <row r="104" spans="1:2" x14ac:dyDescent="0.25">
      <c r="A104" s="180" t="s">
        <v>248</v>
      </c>
      <c r="B104" t="s">
        <v>1329</v>
      </c>
    </row>
    <row r="105" spans="1:2" x14ac:dyDescent="0.25">
      <c r="A105" s="180" t="s">
        <v>251</v>
      </c>
      <c r="B105" t="s">
        <v>251</v>
      </c>
    </row>
    <row r="106" spans="1:2" x14ac:dyDescent="0.25">
      <c r="A106" s="180" t="s">
        <v>252</v>
      </c>
      <c r="B106" t="s">
        <v>252</v>
      </c>
    </row>
    <row r="107" spans="1:2" x14ac:dyDescent="0.25">
      <c r="A107" s="360" t="s">
        <v>1094</v>
      </c>
      <c r="B107" t="s">
        <v>1094</v>
      </c>
    </row>
    <row r="108" spans="1:2" x14ac:dyDescent="0.25">
      <c r="A108" s="85" t="s">
        <v>255</v>
      </c>
      <c r="B108" t="s">
        <v>255</v>
      </c>
    </row>
    <row r="109" spans="1:2" x14ac:dyDescent="0.25">
      <c r="A109" s="180" t="s">
        <v>257</v>
      </c>
      <c r="B109" t="s">
        <v>257</v>
      </c>
    </row>
    <row r="110" spans="1:2" x14ac:dyDescent="0.25">
      <c r="A110" s="180" t="s">
        <v>258</v>
      </c>
      <c r="B110" t="s">
        <v>258</v>
      </c>
    </row>
    <row r="111" spans="1:2" x14ac:dyDescent="0.25">
      <c r="A111" s="180" t="s">
        <v>262</v>
      </c>
      <c r="B111" t="s">
        <v>262</v>
      </c>
    </row>
    <row r="112" spans="1:2" x14ac:dyDescent="0.25">
      <c r="A112" s="180" t="s">
        <v>263</v>
      </c>
      <c r="B112" t="s">
        <v>263</v>
      </c>
    </row>
    <row r="113" spans="1:2" x14ac:dyDescent="0.25">
      <c r="A113" s="180" t="s">
        <v>265</v>
      </c>
      <c r="B113" t="s">
        <v>265</v>
      </c>
    </row>
    <row r="114" spans="1:2" x14ac:dyDescent="0.25">
      <c r="A114" s="360" t="s">
        <v>266</v>
      </c>
      <c r="B114" t="s">
        <v>266</v>
      </c>
    </row>
    <row r="115" spans="1:2" x14ac:dyDescent="0.25">
      <c r="A115" s="360" t="s">
        <v>998</v>
      </c>
      <c r="B115" t="s">
        <v>998</v>
      </c>
    </row>
    <row r="116" spans="1:2" x14ac:dyDescent="0.25">
      <c r="A116" s="180" t="s">
        <v>271</v>
      </c>
      <c r="B116" t="s">
        <v>1330</v>
      </c>
    </row>
    <row r="117" spans="1:2" x14ac:dyDescent="0.25">
      <c r="A117" s="180" t="s">
        <v>272</v>
      </c>
      <c r="B117" t="s">
        <v>272</v>
      </c>
    </row>
    <row r="118" spans="1:2" x14ac:dyDescent="0.25">
      <c r="A118" s="180" t="s">
        <v>273</v>
      </c>
      <c r="B118" t="s">
        <v>273</v>
      </c>
    </row>
    <row r="119" spans="1:2" x14ac:dyDescent="0.25">
      <c r="A119" s="180" t="s">
        <v>278</v>
      </c>
      <c r="B119" t="s">
        <v>278</v>
      </c>
    </row>
    <row r="120" spans="1:2" x14ac:dyDescent="0.25">
      <c r="A120" s="360" t="s">
        <v>280</v>
      </c>
      <c r="B120" t="s">
        <v>280</v>
      </c>
    </row>
    <row r="121" spans="1:2" x14ac:dyDescent="0.25">
      <c r="A121" s="360" t="s">
        <v>282</v>
      </c>
      <c r="B121" t="s">
        <v>282</v>
      </c>
    </row>
    <row r="122" spans="1:2" x14ac:dyDescent="0.25">
      <c r="A122" s="360" t="s">
        <v>1003</v>
      </c>
      <c r="B122" t="s">
        <v>1003</v>
      </c>
    </row>
    <row r="123" spans="1:2" x14ac:dyDescent="0.25">
      <c r="A123" s="180" t="s">
        <v>284</v>
      </c>
      <c r="B123" t="s">
        <v>284</v>
      </c>
    </row>
    <row r="124" spans="1:2" x14ac:dyDescent="0.25">
      <c r="A124" s="360" t="s">
        <v>1095</v>
      </c>
      <c r="B124" t="s">
        <v>1095</v>
      </c>
    </row>
    <row r="125" spans="1:2" x14ac:dyDescent="0.25">
      <c r="A125" s="180" t="s">
        <v>288</v>
      </c>
      <c r="B125" t="s">
        <v>288</v>
      </c>
    </row>
    <row r="126" spans="1:2" x14ac:dyDescent="0.25">
      <c r="A126" s="180" t="s">
        <v>289</v>
      </c>
      <c r="B126" t="s">
        <v>289</v>
      </c>
    </row>
    <row r="127" spans="1:2" x14ac:dyDescent="0.25">
      <c r="A127" s="180" t="s">
        <v>292</v>
      </c>
      <c r="B127" t="s">
        <v>292</v>
      </c>
    </row>
    <row r="128" spans="1:2" x14ac:dyDescent="0.25">
      <c r="A128" s="180" t="s">
        <v>293</v>
      </c>
      <c r="B128" t="s">
        <v>293</v>
      </c>
    </row>
    <row r="129" spans="1:2" x14ac:dyDescent="0.25">
      <c r="A129" s="360" t="s">
        <v>294</v>
      </c>
      <c r="B129" t="s">
        <v>294</v>
      </c>
    </row>
    <row r="130" spans="1:2" x14ac:dyDescent="0.25">
      <c r="A130" s="360" t="s">
        <v>297</v>
      </c>
      <c r="B130" t="s">
        <v>297</v>
      </c>
    </row>
    <row r="131" spans="1:2" x14ac:dyDescent="0.25">
      <c r="A131" s="360" t="s">
        <v>299</v>
      </c>
      <c r="B131" t="s">
        <v>299</v>
      </c>
    </row>
    <row r="132" spans="1:2" x14ac:dyDescent="0.25">
      <c r="A132" s="180" t="s">
        <v>301</v>
      </c>
      <c r="B132" t="s">
        <v>301</v>
      </c>
    </row>
    <row r="133" spans="1:2" x14ac:dyDescent="0.25">
      <c r="A133" s="360" t="s">
        <v>1009</v>
      </c>
      <c r="B133" t="s">
        <v>1009</v>
      </c>
    </row>
    <row r="134" spans="1:2" x14ac:dyDescent="0.25">
      <c r="A134" s="180" t="s">
        <v>302</v>
      </c>
      <c r="B134" t="s">
        <v>302</v>
      </c>
    </row>
    <row r="135" spans="1:2" x14ac:dyDescent="0.25">
      <c r="A135" s="180" t="s">
        <v>303</v>
      </c>
      <c r="B135" t="s">
        <v>303</v>
      </c>
    </row>
    <row r="136" spans="1:2" x14ac:dyDescent="0.25">
      <c r="A136" s="180" t="s">
        <v>304</v>
      </c>
      <c r="B136" t="s">
        <v>304</v>
      </c>
    </row>
    <row r="137" spans="1:2" x14ac:dyDescent="0.25">
      <c r="A137" s="180" t="s">
        <v>305</v>
      </c>
      <c r="B137" t="s">
        <v>305</v>
      </c>
    </row>
    <row r="138" spans="1:2" x14ac:dyDescent="0.25">
      <c r="A138" s="360" t="s">
        <v>306</v>
      </c>
      <c r="B138" t="s">
        <v>306</v>
      </c>
    </row>
    <row r="139" spans="1:2" x14ac:dyDescent="0.25">
      <c r="A139" s="360" t="s">
        <v>1011</v>
      </c>
      <c r="B139" t="s">
        <v>1011</v>
      </c>
    </row>
    <row r="140" spans="1:2" x14ac:dyDescent="0.25">
      <c r="A140" s="180" t="s">
        <v>309</v>
      </c>
      <c r="B140" t="s">
        <v>309</v>
      </c>
    </row>
    <row r="141" spans="1:2" ht="23.25" x14ac:dyDescent="0.25">
      <c r="A141" s="332" t="s">
        <v>1308</v>
      </c>
      <c r="B141" t="s">
        <v>1308</v>
      </c>
    </row>
    <row r="142" spans="1:2" x14ac:dyDescent="0.25">
      <c r="A142" s="360" t="s">
        <v>313</v>
      </c>
      <c r="B142" t="s">
        <v>313</v>
      </c>
    </row>
    <row r="143" spans="1:2" x14ac:dyDescent="0.25">
      <c r="A143" s="360" t="s">
        <v>315</v>
      </c>
      <c r="B143" t="s">
        <v>315</v>
      </c>
    </row>
    <row r="144" spans="1:2" x14ac:dyDescent="0.25">
      <c r="A144" s="180" t="s">
        <v>316</v>
      </c>
      <c r="B144" t="s">
        <v>316</v>
      </c>
    </row>
    <row r="145" spans="1:2" x14ac:dyDescent="0.25">
      <c r="A145" s="360" t="s">
        <v>1001</v>
      </c>
      <c r="B145" t="s">
        <v>1001</v>
      </c>
    </row>
    <row r="146" spans="1:2" x14ac:dyDescent="0.25">
      <c r="A146" s="360" t="s">
        <v>320</v>
      </c>
      <c r="B146" t="s">
        <v>320</v>
      </c>
    </row>
    <row r="147" spans="1:2" ht="33.75" x14ac:dyDescent="0.25">
      <c r="A147" s="363" t="s">
        <v>322</v>
      </c>
      <c r="B147" t="s">
        <v>322</v>
      </c>
    </row>
    <row r="148" spans="1:2" x14ac:dyDescent="0.25">
      <c r="A148" s="180" t="s">
        <v>324</v>
      </c>
      <c r="B148" t="s">
        <v>324</v>
      </c>
    </row>
    <row r="149" spans="1:2" x14ac:dyDescent="0.25">
      <c r="A149" s="180" t="s">
        <v>325</v>
      </c>
      <c r="B149" t="s">
        <v>325</v>
      </c>
    </row>
    <row r="150" spans="1:2" x14ac:dyDescent="0.25">
      <c r="A150" s="360" t="s">
        <v>326</v>
      </c>
      <c r="B150" t="s">
        <v>326</v>
      </c>
    </row>
    <row r="151" spans="1:2" x14ac:dyDescent="0.25">
      <c r="A151" s="180" t="s">
        <v>327</v>
      </c>
      <c r="B151" t="s">
        <v>327</v>
      </c>
    </row>
    <row r="152" spans="1:2" x14ac:dyDescent="0.25">
      <c r="A152" s="360" t="s">
        <v>328</v>
      </c>
      <c r="B152" t="s">
        <v>328</v>
      </c>
    </row>
    <row r="153" spans="1:2" x14ac:dyDescent="0.25">
      <c r="A153" s="360" t="s">
        <v>1013</v>
      </c>
      <c r="B153" t="s">
        <v>1013</v>
      </c>
    </row>
    <row r="154" spans="1:2" x14ac:dyDescent="0.25">
      <c r="A154" s="180" t="s">
        <v>330</v>
      </c>
      <c r="B154" t="s">
        <v>330</v>
      </c>
    </row>
    <row r="155" spans="1:2" x14ac:dyDescent="0.25">
      <c r="A155" s="180" t="s">
        <v>331</v>
      </c>
      <c r="B155" t="s">
        <v>331</v>
      </c>
    </row>
    <row r="156" spans="1:2" x14ac:dyDescent="0.25">
      <c r="A156" s="360" t="s">
        <v>332</v>
      </c>
      <c r="B156" t="s">
        <v>332</v>
      </c>
    </row>
    <row r="157" spans="1:2" x14ac:dyDescent="0.25">
      <c r="A157" s="180" t="s">
        <v>335</v>
      </c>
      <c r="B157" t="s">
        <v>335</v>
      </c>
    </row>
    <row r="158" spans="1:2" x14ac:dyDescent="0.25">
      <c r="A158" s="364" t="s">
        <v>336</v>
      </c>
      <c r="B158" t="s">
        <v>336</v>
      </c>
    </row>
    <row r="159" spans="1:2" x14ac:dyDescent="0.25">
      <c r="A159" s="360" t="s">
        <v>1014</v>
      </c>
      <c r="B159" t="s">
        <v>1014</v>
      </c>
    </row>
    <row r="160" spans="1:2" x14ac:dyDescent="0.25">
      <c r="A160" s="360" t="s">
        <v>337</v>
      </c>
      <c r="B160" t="s">
        <v>337</v>
      </c>
    </row>
    <row r="161" spans="1:2" x14ac:dyDescent="0.25">
      <c r="A161" s="180" t="s">
        <v>339</v>
      </c>
      <c r="B161" t="s">
        <v>339</v>
      </c>
    </row>
    <row r="162" spans="1:2" x14ac:dyDescent="0.25">
      <c r="A162" s="365" t="s">
        <v>340</v>
      </c>
      <c r="B162" t="s">
        <v>340</v>
      </c>
    </row>
    <row r="163" spans="1:2" x14ac:dyDescent="0.25">
      <c r="A163" s="180" t="s">
        <v>341</v>
      </c>
      <c r="B163" t="s">
        <v>1331</v>
      </c>
    </row>
    <row r="164" spans="1:2" x14ac:dyDescent="0.25">
      <c r="A164" s="180" t="s">
        <v>342</v>
      </c>
      <c r="B164" t="s">
        <v>342</v>
      </c>
    </row>
    <row r="165" spans="1:2" x14ac:dyDescent="0.25">
      <c r="A165" s="180" t="s">
        <v>343</v>
      </c>
      <c r="B165" t="s">
        <v>343</v>
      </c>
    </row>
    <row r="166" spans="1:2" x14ac:dyDescent="0.25">
      <c r="A166" s="180" t="s">
        <v>344</v>
      </c>
      <c r="B166" t="s">
        <v>344</v>
      </c>
    </row>
    <row r="167" spans="1:2" x14ac:dyDescent="0.25">
      <c r="A167" s="180" t="s">
        <v>345</v>
      </c>
      <c r="B167" t="s">
        <v>345</v>
      </c>
    </row>
    <row r="168" spans="1:2" x14ac:dyDescent="0.25">
      <c r="A168" s="360" t="s">
        <v>346</v>
      </c>
      <c r="B168" t="s">
        <v>346</v>
      </c>
    </row>
    <row r="169" spans="1:2" x14ac:dyDescent="0.25">
      <c r="A169" s="360" t="s">
        <v>347</v>
      </c>
      <c r="B169" t="s">
        <v>347</v>
      </c>
    </row>
    <row r="170" spans="1:2" ht="23.25" x14ac:dyDescent="0.25">
      <c r="A170" s="332" t="s">
        <v>1309</v>
      </c>
      <c r="B170" t="s">
        <v>1309</v>
      </c>
    </row>
    <row r="171" spans="1:2" x14ac:dyDescent="0.25">
      <c r="A171" s="180" t="s">
        <v>348</v>
      </c>
      <c r="B171" t="s">
        <v>348</v>
      </c>
    </row>
    <row r="172" spans="1:2" x14ac:dyDescent="0.25">
      <c r="A172" s="180" t="s">
        <v>349</v>
      </c>
      <c r="B172" t="s">
        <v>1332</v>
      </c>
    </row>
    <row r="173" spans="1:2" x14ac:dyDescent="0.25">
      <c r="A173" s="360" t="s">
        <v>1015</v>
      </c>
      <c r="B173" t="s">
        <v>1015</v>
      </c>
    </row>
    <row r="174" spans="1:2" x14ac:dyDescent="0.25">
      <c r="A174" s="360" t="s">
        <v>351</v>
      </c>
      <c r="B174" t="s">
        <v>351</v>
      </c>
    </row>
    <row r="175" spans="1:2" x14ac:dyDescent="0.25">
      <c r="A175" s="180" t="s">
        <v>356</v>
      </c>
      <c r="B175" t="s">
        <v>356</v>
      </c>
    </row>
    <row r="176" spans="1:2" x14ac:dyDescent="0.25">
      <c r="A176" s="180" t="s">
        <v>357</v>
      </c>
      <c r="B176" t="s">
        <v>357</v>
      </c>
    </row>
    <row r="177" spans="1:2" x14ac:dyDescent="0.25">
      <c r="A177" s="366" t="s">
        <v>359</v>
      </c>
      <c r="B177" t="s">
        <v>359</v>
      </c>
    </row>
    <row r="178" spans="1:2" x14ac:dyDescent="0.25">
      <c r="A178" s="360" t="s">
        <v>360</v>
      </c>
      <c r="B178" t="s">
        <v>360</v>
      </c>
    </row>
    <row r="179" spans="1:2" x14ac:dyDescent="0.25">
      <c r="A179" s="360" t="s">
        <v>362</v>
      </c>
      <c r="B179" t="s">
        <v>362</v>
      </c>
    </row>
    <row r="180" spans="1:2" x14ac:dyDescent="0.25">
      <c r="A180" s="180" t="s">
        <v>364</v>
      </c>
      <c r="B180" t="s">
        <v>364</v>
      </c>
    </row>
    <row r="181" spans="1:2" x14ac:dyDescent="0.25">
      <c r="A181" s="360" t="s">
        <v>366</v>
      </c>
      <c r="B181" t="s">
        <v>366</v>
      </c>
    </row>
    <row r="182" spans="1:2" x14ac:dyDescent="0.25">
      <c r="A182" s="180" t="s">
        <v>367</v>
      </c>
      <c r="B182" t="s">
        <v>367</v>
      </c>
    </row>
    <row r="183" spans="1:2" x14ac:dyDescent="0.25">
      <c r="A183" s="180" t="s">
        <v>371</v>
      </c>
      <c r="B183" t="s">
        <v>371</v>
      </c>
    </row>
    <row r="184" spans="1:2" x14ac:dyDescent="0.25">
      <c r="A184" s="180" t="s">
        <v>372</v>
      </c>
      <c r="B184" t="s">
        <v>372</v>
      </c>
    </row>
    <row r="185" spans="1:2" x14ac:dyDescent="0.25">
      <c r="A185" s="180" t="s">
        <v>373</v>
      </c>
      <c r="B185" t="s">
        <v>373</v>
      </c>
    </row>
    <row r="186" spans="1:2" x14ac:dyDescent="0.25">
      <c r="A186" s="180" t="s">
        <v>374</v>
      </c>
      <c r="B186" t="s">
        <v>374</v>
      </c>
    </row>
    <row r="187" spans="1:2" x14ac:dyDescent="0.25">
      <c r="A187" s="360" t="s">
        <v>376</v>
      </c>
      <c r="B187" t="s">
        <v>376</v>
      </c>
    </row>
    <row r="188" spans="1:2" ht="34.5" x14ac:dyDescent="0.25">
      <c r="A188" s="332" t="s">
        <v>1097</v>
      </c>
      <c r="B188" t="s">
        <v>1097</v>
      </c>
    </row>
    <row r="189" spans="1:2" x14ac:dyDescent="0.25">
      <c r="A189" s="181" t="s">
        <v>380</v>
      </c>
      <c r="B189" t="s">
        <v>380</v>
      </c>
    </row>
    <row r="190" spans="1:2" x14ac:dyDescent="0.25">
      <c r="A190" s="365" t="s">
        <v>381</v>
      </c>
      <c r="B190" t="s">
        <v>381</v>
      </c>
    </row>
    <row r="191" spans="1:2" x14ac:dyDescent="0.25">
      <c r="A191" s="360" t="s">
        <v>384</v>
      </c>
      <c r="B191" t="s">
        <v>384</v>
      </c>
    </row>
    <row r="192" spans="1:2" x14ac:dyDescent="0.25">
      <c r="A192" s="360" t="s">
        <v>385</v>
      </c>
      <c r="B192" t="s">
        <v>385</v>
      </c>
    </row>
    <row r="193" spans="1:2" x14ac:dyDescent="0.25">
      <c r="A193" s="180" t="s">
        <v>386</v>
      </c>
      <c r="B193" t="s">
        <v>386</v>
      </c>
    </row>
    <row r="194" spans="1:2" x14ac:dyDescent="0.25">
      <c r="A194" s="180" t="s">
        <v>387</v>
      </c>
      <c r="B194" t="s">
        <v>387</v>
      </c>
    </row>
    <row r="195" spans="1:2" x14ac:dyDescent="0.25">
      <c r="A195" s="180" t="s">
        <v>389</v>
      </c>
      <c r="B195" t="s">
        <v>389</v>
      </c>
    </row>
    <row r="196" spans="1:2" x14ac:dyDescent="0.25">
      <c r="A196" s="180" t="s">
        <v>390</v>
      </c>
      <c r="B196" t="s">
        <v>390</v>
      </c>
    </row>
    <row r="197" spans="1:2" x14ac:dyDescent="0.25">
      <c r="A197" s="360" t="s">
        <v>392</v>
      </c>
      <c r="B197" t="s">
        <v>392</v>
      </c>
    </row>
    <row r="198" spans="1:2" x14ac:dyDescent="0.25">
      <c r="A198" s="360" t="s">
        <v>394</v>
      </c>
      <c r="B198" t="s">
        <v>394</v>
      </c>
    </row>
    <row r="199" spans="1:2" ht="23.25" x14ac:dyDescent="0.25">
      <c r="A199" s="367" t="s">
        <v>396</v>
      </c>
      <c r="B199" t="s">
        <v>396</v>
      </c>
    </row>
    <row r="200" spans="1:2" x14ac:dyDescent="0.25">
      <c r="A200" s="368" t="s">
        <v>397</v>
      </c>
      <c r="B200" t="s">
        <v>397</v>
      </c>
    </row>
    <row r="201" spans="1:2" x14ac:dyDescent="0.25">
      <c r="A201" s="360" t="s">
        <v>400</v>
      </c>
      <c r="B201" t="s">
        <v>400</v>
      </c>
    </row>
    <row r="202" spans="1:2" ht="45" x14ac:dyDescent="0.25">
      <c r="A202" s="363" t="s">
        <v>403</v>
      </c>
      <c r="B202" t="s">
        <v>403</v>
      </c>
    </row>
    <row r="203" spans="1:2" x14ac:dyDescent="0.25">
      <c r="A203" s="360" t="s">
        <v>404</v>
      </c>
      <c r="B203" t="s">
        <v>404</v>
      </c>
    </row>
    <row r="204" spans="1:2" x14ac:dyDescent="0.25">
      <c r="A204" s="180" t="s">
        <v>405</v>
      </c>
      <c r="B204" t="s">
        <v>405</v>
      </c>
    </row>
    <row r="205" spans="1:2" x14ac:dyDescent="0.25">
      <c r="A205" s="180" t="s">
        <v>407</v>
      </c>
      <c r="B205" t="s">
        <v>407</v>
      </c>
    </row>
    <row r="206" spans="1:2" x14ac:dyDescent="0.25">
      <c r="A206" s="360" t="s">
        <v>411</v>
      </c>
      <c r="B206" t="s">
        <v>411</v>
      </c>
    </row>
    <row r="207" spans="1:2" x14ac:dyDescent="0.25">
      <c r="A207" s="360" t="s">
        <v>412</v>
      </c>
      <c r="B207" t="s">
        <v>412</v>
      </c>
    </row>
    <row r="208" spans="1:2" x14ac:dyDescent="0.25">
      <c r="A208" s="180" t="s">
        <v>415</v>
      </c>
      <c r="B208" t="s">
        <v>1333</v>
      </c>
    </row>
    <row r="209" spans="1:2" x14ac:dyDescent="0.25">
      <c r="A209" s="180" t="s">
        <v>417</v>
      </c>
      <c r="B209" t="s">
        <v>417</v>
      </c>
    </row>
    <row r="210" spans="1:2" x14ac:dyDescent="0.25">
      <c r="A210" s="359" t="s">
        <v>419</v>
      </c>
      <c r="B210" t="s">
        <v>419</v>
      </c>
    </row>
    <row r="211" spans="1:2" x14ac:dyDescent="0.25">
      <c r="A211" s="180" t="s">
        <v>420</v>
      </c>
      <c r="B211" t="s">
        <v>420</v>
      </c>
    </row>
    <row r="212" spans="1:2" x14ac:dyDescent="0.25">
      <c r="A212" s="369" t="s">
        <v>421</v>
      </c>
      <c r="B212" t="s">
        <v>421</v>
      </c>
    </row>
    <row r="213" spans="1:2" x14ac:dyDescent="0.25">
      <c r="A213" s="360" t="s">
        <v>422</v>
      </c>
      <c r="B213" t="s">
        <v>422</v>
      </c>
    </row>
    <row r="214" spans="1:2" x14ac:dyDescent="0.25">
      <c r="A214" s="360" t="s">
        <v>424</v>
      </c>
      <c r="B214" t="s">
        <v>424</v>
      </c>
    </row>
    <row r="215" spans="1:2" x14ac:dyDescent="0.25">
      <c r="A215" s="360" t="s">
        <v>1098</v>
      </c>
      <c r="B215" t="s">
        <v>1098</v>
      </c>
    </row>
    <row r="216" spans="1:2" x14ac:dyDescent="0.25">
      <c r="A216" s="360" t="s">
        <v>1020</v>
      </c>
      <c r="B216" t="s">
        <v>1020</v>
      </c>
    </row>
    <row r="217" spans="1:2" x14ac:dyDescent="0.25">
      <c r="A217" s="360" t="s">
        <v>432</v>
      </c>
      <c r="B217" t="s">
        <v>432</v>
      </c>
    </row>
    <row r="218" spans="1:2" x14ac:dyDescent="0.25">
      <c r="A218" s="360" t="s">
        <v>433</v>
      </c>
      <c r="B218" t="s">
        <v>433</v>
      </c>
    </row>
    <row r="219" spans="1:2" x14ac:dyDescent="0.25">
      <c r="A219" s="180" t="s">
        <v>435</v>
      </c>
      <c r="B219" t="s">
        <v>435</v>
      </c>
    </row>
    <row r="220" spans="1:2" x14ac:dyDescent="0.25">
      <c r="A220" s="180" t="s">
        <v>436</v>
      </c>
      <c r="B220" t="s">
        <v>436</v>
      </c>
    </row>
    <row r="221" spans="1:2" x14ac:dyDescent="0.25">
      <c r="A221" s="180" t="s">
        <v>438</v>
      </c>
      <c r="B221" t="s">
        <v>438</v>
      </c>
    </row>
    <row r="222" spans="1:2" x14ac:dyDescent="0.25">
      <c r="A222" s="360" t="s">
        <v>439</v>
      </c>
      <c r="B222" t="s">
        <v>439</v>
      </c>
    </row>
    <row r="223" spans="1:2" x14ac:dyDescent="0.25">
      <c r="A223" s="180" t="s">
        <v>441</v>
      </c>
      <c r="B223" t="s">
        <v>441</v>
      </c>
    </row>
    <row r="224" spans="1:2" x14ac:dyDescent="0.25">
      <c r="A224" s="180" t="s">
        <v>443</v>
      </c>
      <c r="B224" t="s">
        <v>443</v>
      </c>
    </row>
    <row r="225" spans="1:2" x14ac:dyDescent="0.25">
      <c r="A225" s="180" t="s">
        <v>445</v>
      </c>
      <c r="B225" t="s">
        <v>445</v>
      </c>
    </row>
    <row r="226" spans="1:2" x14ac:dyDescent="0.25">
      <c r="A226" s="360" t="s">
        <v>446</v>
      </c>
      <c r="B226" t="s">
        <v>446</v>
      </c>
    </row>
    <row r="227" spans="1:2" x14ac:dyDescent="0.25">
      <c r="A227" s="180" t="s">
        <v>448</v>
      </c>
      <c r="B227" t="s">
        <v>448</v>
      </c>
    </row>
    <row r="228" spans="1:2" x14ac:dyDescent="0.25">
      <c r="A228" s="180" t="s">
        <v>450</v>
      </c>
      <c r="B228" t="s">
        <v>1334</v>
      </c>
    </row>
    <row r="229" spans="1:2" x14ac:dyDescent="0.25">
      <c r="A229" s="180" t="s">
        <v>451</v>
      </c>
      <c r="B229" t="s">
        <v>451</v>
      </c>
    </row>
    <row r="230" spans="1:2" x14ac:dyDescent="0.25">
      <c r="A230" s="180" t="s">
        <v>452</v>
      </c>
      <c r="B230" t="s">
        <v>452</v>
      </c>
    </row>
    <row r="231" spans="1:2" x14ac:dyDescent="0.25">
      <c r="A231" s="180" t="s">
        <v>454</v>
      </c>
      <c r="B231" t="s">
        <v>454</v>
      </c>
    </row>
    <row r="232" spans="1:2" x14ac:dyDescent="0.25">
      <c r="A232" s="180" t="s">
        <v>455</v>
      </c>
      <c r="B232" t="s">
        <v>455</v>
      </c>
    </row>
    <row r="233" spans="1:2" x14ac:dyDescent="0.25">
      <c r="A233" s="180" t="s">
        <v>456</v>
      </c>
      <c r="B233" t="s">
        <v>456</v>
      </c>
    </row>
    <row r="234" spans="1:2" x14ac:dyDescent="0.25">
      <c r="A234" s="360" t="s">
        <v>457</v>
      </c>
      <c r="B234" t="s">
        <v>457</v>
      </c>
    </row>
    <row r="235" spans="1:2" x14ac:dyDescent="0.25">
      <c r="A235" s="360" t="s">
        <v>460</v>
      </c>
      <c r="B235" t="s">
        <v>460</v>
      </c>
    </row>
    <row r="236" spans="1:2" x14ac:dyDescent="0.25">
      <c r="A236" s="180" t="s">
        <v>461</v>
      </c>
      <c r="B236" t="s">
        <v>461</v>
      </c>
    </row>
    <row r="237" spans="1:2" x14ac:dyDescent="0.25">
      <c r="A237" s="369" t="s">
        <v>462</v>
      </c>
      <c r="B237" t="s">
        <v>462</v>
      </c>
    </row>
    <row r="238" spans="1:2" x14ac:dyDescent="0.25">
      <c r="A238" s="180" t="s">
        <v>463</v>
      </c>
      <c r="B238" t="s">
        <v>463</v>
      </c>
    </row>
    <row r="239" spans="1:2" x14ac:dyDescent="0.25">
      <c r="A239" s="366" t="s">
        <v>464</v>
      </c>
      <c r="B239" t="s">
        <v>464</v>
      </c>
    </row>
    <row r="240" spans="1:2" x14ac:dyDescent="0.25">
      <c r="A240" s="360" t="s">
        <v>467</v>
      </c>
      <c r="B240" t="s">
        <v>467</v>
      </c>
    </row>
    <row r="241" spans="1:2" x14ac:dyDescent="0.25">
      <c r="A241" s="361" t="s">
        <v>468</v>
      </c>
      <c r="B241" t="s">
        <v>468</v>
      </c>
    </row>
    <row r="242" spans="1:2" x14ac:dyDescent="0.25">
      <c r="A242" s="360" t="s">
        <v>470</v>
      </c>
      <c r="B242" t="s">
        <v>470</v>
      </c>
    </row>
    <row r="243" spans="1:2" x14ac:dyDescent="0.25">
      <c r="A243" s="360" t="s">
        <v>471</v>
      </c>
      <c r="B243" t="s">
        <v>471</v>
      </c>
    </row>
    <row r="244" spans="1:2" x14ac:dyDescent="0.25">
      <c r="A244" s="180" t="s">
        <v>473</v>
      </c>
      <c r="B244" t="s">
        <v>473</v>
      </c>
    </row>
    <row r="245" spans="1:2" x14ac:dyDescent="0.25">
      <c r="A245" s="360" t="s">
        <v>474</v>
      </c>
      <c r="B245" t="s">
        <v>474</v>
      </c>
    </row>
    <row r="246" spans="1:2" x14ac:dyDescent="0.25">
      <c r="A246" s="360" t="s">
        <v>1021</v>
      </c>
      <c r="B246" t="s">
        <v>1021</v>
      </c>
    </row>
    <row r="247" spans="1:2" x14ac:dyDescent="0.25">
      <c r="A247" s="360" t="s">
        <v>476</v>
      </c>
      <c r="B247" t="s">
        <v>476</v>
      </c>
    </row>
    <row r="248" spans="1:2" x14ac:dyDescent="0.25">
      <c r="A248" s="360" t="s">
        <v>480</v>
      </c>
      <c r="B248" t="s">
        <v>480</v>
      </c>
    </row>
    <row r="249" spans="1:2" x14ac:dyDescent="0.25">
      <c r="A249" s="360" t="s">
        <v>1022</v>
      </c>
      <c r="B249" t="s">
        <v>1022</v>
      </c>
    </row>
    <row r="250" spans="1:2" x14ac:dyDescent="0.25">
      <c r="A250" s="360" t="s">
        <v>482</v>
      </c>
      <c r="B250" t="s">
        <v>482</v>
      </c>
    </row>
    <row r="251" spans="1:2" x14ac:dyDescent="0.25">
      <c r="A251" s="180" t="s">
        <v>483</v>
      </c>
      <c r="B251" t="s">
        <v>483</v>
      </c>
    </row>
    <row r="252" spans="1:2" x14ac:dyDescent="0.25">
      <c r="A252" s="360" t="s">
        <v>484</v>
      </c>
      <c r="B252" t="s">
        <v>484</v>
      </c>
    </row>
    <row r="253" spans="1:2" x14ac:dyDescent="0.25">
      <c r="A253" s="360" t="s">
        <v>1023</v>
      </c>
      <c r="B253" t="s">
        <v>1023</v>
      </c>
    </row>
    <row r="254" spans="1:2" x14ac:dyDescent="0.25">
      <c r="A254" s="180" t="s">
        <v>485</v>
      </c>
      <c r="B254" t="s">
        <v>1335</v>
      </c>
    </row>
    <row r="255" spans="1:2" x14ac:dyDescent="0.25">
      <c r="A255" s="360" t="s">
        <v>1024</v>
      </c>
      <c r="B255" t="s">
        <v>1024</v>
      </c>
    </row>
    <row r="256" spans="1:2" x14ac:dyDescent="0.25">
      <c r="A256" s="180" t="s">
        <v>491</v>
      </c>
      <c r="B256" t="s">
        <v>491</v>
      </c>
    </row>
    <row r="257" spans="1:2" x14ac:dyDescent="0.25">
      <c r="A257" s="366" t="s">
        <v>493</v>
      </c>
      <c r="B257" t="s">
        <v>493</v>
      </c>
    </row>
    <row r="258" spans="1:2" x14ac:dyDescent="0.25">
      <c r="A258" s="180" t="s">
        <v>497</v>
      </c>
      <c r="B258" t="s">
        <v>497</v>
      </c>
    </row>
    <row r="259" spans="1:2" x14ac:dyDescent="0.25">
      <c r="A259" s="360" t="s">
        <v>498</v>
      </c>
      <c r="B259" t="s">
        <v>498</v>
      </c>
    </row>
    <row r="260" spans="1:2" x14ac:dyDescent="0.25">
      <c r="A260" s="180" t="s">
        <v>499</v>
      </c>
      <c r="B260" t="s">
        <v>499</v>
      </c>
    </row>
    <row r="261" spans="1:2" x14ac:dyDescent="0.25">
      <c r="A261" s="180" t="s">
        <v>500</v>
      </c>
      <c r="B261" t="s">
        <v>500</v>
      </c>
    </row>
    <row r="262" spans="1:2" x14ac:dyDescent="0.25">
      <c r="A262" s="180" t="s">
        <v>501</v>
      </c>
      <c r="B262" t="s">
        <v>1336</v>
      </c>
    </row>
    <row r="263" spans="1:2" x14ac:dyDescent="0.25">
      <c r="A263" s="180" t="s">
        <v>503</v>
      </c>
      <c r="B263" t="s">
        <v>503</v>
      </c>
    </row>
    <row r="264" spans="1:2" ht="23.25" x14ac:dyDescent="0.25">
      <c r="A264" s="332" t="s">
        <v>504</v>
      </c>
      <c r="B264" t="s">
        <v>504</v>
      </c>
    </row>
    <row r="265" spans="1:2" x14ac:dyDescent="0.25">
      <c r="A265" s="180" t="s">
        <v>505</v>
      </c>
      <c r="B265" t="s">
        <v>505</v>
      </c>
    </row>
    <row r="266" spans="1:2" x14ac:dyDescent="0.25">
      <c r="A266" s="360" t="s">
        <v>1025</v>
      </c>
      <c r="B266" t="s">
        <v>1025</v>
      </c>
    </row>
    <row r="267" spans="1:2" x14ac:dyDescent="0.25">
      <c r="A267" s="180" t="s">
        <v>507</v>
      </c>
      <c r="B267" t="s">
        <v>507</v>
      </c>
    </row>
    <row r="268" spans="1:2" x14ac:dyDescent="0.25">
      <c r="A268" s="360" t="s">
        <v>1026</v>
      </c>
      <c r="B268" t="s">
        <v>1026</v>
      </c>
    </row>
    <row r="269" spans="1:2" x14ac:dyDescent="0.25">
      <c r="A269" s="180" t="s">
        <v>513</v>
      </c>
      <c r="B269" t="s">
        <v>513</v>
      </c>
    </row>
    <row r="270" spans="1:2" x14ac:dyDescent="0.25">
      <c r="A270" s="180" t="s">
        <v>514</v>
      </c>
      <c r="B270" t="s">
        <v>514</v>
      </c>
    </row>
    <row r="271" spans="1:2" x14ac:dyDescent="0.25">
      <c r="A271" s="360" t="s">
        <v>1028</v>
      </c>
      <c r="B271" t="s">
        <v>1028</v>
      </c>
    </row>
    <row r="272" spans="1:2" ht="22.5" x14ac:dyDescent="0.25">
      <c r="A272" s="363" t="s">
        <v>1310</v>
      </c>
      <c r="B272" t="s">
        <v>1310</v>
      </c>
    </row>
    <row r="273" spans="1:2" x14ac:dyDescent="0.25">
      <c r="A273" s="180" t="s">
        <v>516</v>
      </c>
      <c r="B273" t="s">
        <v>516</v>
      </c>
    </row>
    <row r="274" spans="1:2" x14ac:dyDescent="0.25">
      <c r="A274" s="180" t="s">
        <v>1316</v>
      </c>
      <c r="B274" t="s">
        <v>1316</v>
      </c>
    </row>
    <row r="275" spans="1:2" x14ac:dyDescent="0.25">
      <c r="A275" s="180" t="s">
        <v>518</v>
      </c>
      <c r="B275" t="s">
        <v>518</v>
      </c>
    </row>
    <row r="276" spans="1:2" x14ac:dyDescent="0.25">
      <c r="A276" s="180" t="s">
        <v>519</v>
      </c>
      <c r="B276" t="s">
        <v>519</v>
      </c>
    </row>
    <row r="277" spans="1:2" x14ac:dyDescent="0.25">
      <c r="A277" s="180" t="s">
        <v>520</v>
      </c>
      <c r="B277" t="s">
        <v>520</v>
      </c>
    </row>
    <row r="278" spans="1:2" x14ac:dyDescent="0.25">
      <c r="A278" s="180" t="s">
        <v>522</v>
      </c>
      <c r="B278" t="s">
        <v>522</v>
      </c>
    </row>
    <row r="279" spans="1:2" x14ac:dyDescent="0.25">
      <c r="A279" s="180" t="s">
        <v>523</v>
      </c>
      <c r="B279" t="s">
        <v>523</v>
      </c>
    </row>
    <row r="280" spans="1:2" x14ac:dyDescent="0.25">
      <c r="A280" s="370" t="s">
        <v>524</v>
      </c>
      <c r="B280" t="s">
        <v>524</v>
      </c>
    </row>
    <row r="281" spans="1:2" x14ac:dyDescent="0.25">
      <c r="A281" s="180" t="s">
        <v>525</v>
      </c>
      <c r="B281" t="s">
        <v>525</v>
      </c>
    </row>
    <row r="282" spans="1:2" x14ac:dyDescent="0.25">
      <c r="A282" s="360" t="s">
        <v>526</v>
      </c>
      <c r="B282" t="s">
        <v>526</v>
      </c>
    </row>
    <row r="283" spans="1:2" x14ac:dyDescent="0.25">
      <c r="A283" s="360" t="s">
        <v>529</v>
      </c>
      <c r="B283" t="s">
        <v>529</v>
      </c>
    </row>
    <row r="284" spans="1:2" x14ac:dyDescent="0.25">
      <c r="A284" s="180" t="s">
        <v>531</v>
      </c>
      <c r="B284" t="s">
        <v>531</v>
      </c>
    </row>
    <row r="285" spans="1:2" x14ac:dyDescent="0.25">
      <c r="A285" s="180" t="s">
        <v>533</v>
      </c>
      <c r="B285" t="s">
        <v>533</v>
      </c>
    </row>
    <row r="286" spans="1:2" x14ac:dyDescent="0.25">
      <c r="A286" s="180" t="s">
        <v>534</v>
      </c>
      <c r="B286" t="s">
        <v>534</v>
      </c>
    </row>
    <row r="287" spans="1:2" x14ac:dyDescent="0.25">
      <c r="A287" s="360" t="s">
        <v>537</v>
      </c>
      <c r="B287" t="s">
        <v>537</v>
      </c>
    </row>
    <row r="288" spans="1:2" x14ac:dyDescent="0.25">
      <c r="A288" s="360" t="s">
        <v>1030</v>
      </c>
      <c r="B288" t="s">
        <v>1030</v>
      </c>
    </row>
    <row r="289" spans="1:2" x14ac:dyDescent="0.25">
      <c r="A289" s="360" t="s">
        <v>1099</v>
      </c>
      <c r="B289" t="s">
        <v>1099</v>
      </c>
    </row>
    <row r="290" spans="1:2" x14ac:dyDescent="0.25">
      <c r="A290" s="180" t="s">
        <v>541</v>
      </c>
      <c r="B290" t="s">
        <v>541</v>
      </c>
    </row>
    <row r="291" spans="1:2" x14ac:dyDescent="0.25">
      <c r="A291" s="180" t="s">
        <v>542</v>
      </c>
      <c r="B291" t="s">
        <v>542</v>
      </c>
    </row>
    <row r="292" spans="1:2" x14ac:dyDescent="0.25">
      <c r="A292" s="360" t="s">
        <v>543</v>
      </c>
      <c r="B292" t="s">
        <v>543</v>
      </c>
    </row>
    <row r="293" spans="1:2" x14ac:dyDescent="0.25">
      <c r="A293" s="180" t="s">
        <v>544</v>
      </c>
      <c r="B293" t="s">
        <v>544</v>
      </c>
    </row>
    <row r="294" spans="1:2" x14ac:dyDescent="0.25">
      <c r="A294" s="360" t="s">
        <v>547</v>
      </c>
      <c r="B294" t="s">
        <v>547</v>
      </c>
    </row>
    <row r="295" spans="1:2" x14ac:dyDescent="0.25">
      <c r="A295" s="180" t="s">
        <v>548</v>
      </c>
      <c r="B295" t="s">
        <v>548</v>
      </c>
    </row>
    <row r="296" spans="1:2" x14ac:dyDescent="0.25">
      <c r="A296" s="371" t="s">
        <v>549</v>
      </c>
      <c r="B296" t="s">
        <v>549</v>
      </c>
    </row>
    <row r="297" spans="1:2" x14ac:dyDescent="0.25">
      <c r="A297" s="360" t="s">
        <v>550</v>
      </c>
      <c r="B297" t="s">
        <v>550</v>
      </c>
    </row>
    <row r="298" spans="1:2" x14ac:dyDescent="0.25">
      <c r="A298" s="180" t="s">
        <v>552</v>
      </c>
      <c r="B298" t="s">
        <v>552</v>
      </c>
    </row>
    <row r="299" spans="1:2" x14ac:dyDescent="0.25">
      <c r="A299" s="180" t="s">
        <v>553</v>
      </c>
      <c r="B299" t="s">
        <v>553</v>
      </c>
    </row>
    <row r="300" spans="1:2" ht="23.25" x14ac:dyDescent="0.25">
      <c r="A300" s="332" t="s">
        <v>554</v>
      </c>
      <c r="B300" t="s">
        <v>554</v>
      </c>
    </row>
    <row r="301" spans="1:2" x14ac:dyDescent="0.25">
      <c r="A301" s="180" t="s">
        <v>555</v>
      </c>
      <c r="B301" t="s">
        <v>555</v>
      </c>
    </row>
    <row r="302" spans="1:2" x14ac:dyDescent="0.25">
      <c r="A302" s="180" t="s">
        <v>1317</v>
      </c>
      <c r="B302" t="s">
        <v>1317</v>
      </c>
    </row>
    <row r="303" spans="1:2" x14ac:dyDescent="0.25">
      <c r="A303" s="180" t="s">
        <v>562</v>
      </c>
      <c r="B303" t="s">
        <v>562</v>
      </c>
    </row>
    <row r="304" spans="1:2" x14ac:dyDescent="0.25">
      <c r="A304" s="360" t="s">
        <v>563</v>
      </c>
      <c r="B304" t="s">
        <v>563</v>
      </c>
    </row>
    <row r="305" spans="1:2" x14ac:dyDescent="0.25">
      <c r="A305" s="360" t="s">
        <v>1100</v>
      </c>
      <c r="B305" t="s">
        <v>1100</v>
      </c>
    </row>
    <row r="306" spans="1:2" x14ac:dyDescent="0.25">
      <c r="A306" s="360" t="s">
        <v>566</v>
      </c>
      <c r="B306" t="s">
        <v>566</v>
      </c>
    </row>
    <row r="307" spans="1:2" x14ac:dyDescent="0.25">
      <c r="A307" s="360" t="s">
        <v>567</v>
      </c>
      <c r="B307" t="s">
        <v>567</v>
      </c>
    </row>
    <row r="308" spans="1:2" x14ac:dyDescent="0.25">
      <c r="A308" s="368" t="s">
        <v>568</v>
      </c>
      <c r="B308" t="s">
        <v>568</v>
      </c>
    </row>
    <row r="309" spans="1:2" x14ac:dyDescent="0.25">
      <c r="A309" s="180" t="s">
        <v>570</v>
      </c>
      <c r="B309" t="s">
        <v>570</v>
      </c>
    </row>
    <row r="310" spans="1:2" x14ac:dyDescent="0.25">
      <c r="A310" s="180" t="s">
        <v>571</v>
      </c>
      <c r="B310" t="s">
        <v>571</v>
      </c>
    </row>
    <row r="311" spans="1:2" x14ac:dyDescent="0.25">
      <c r="A311" s="180" t="s">
        <v>572</v>
      </c>
      <c r="B311" t="s">
        <v>572</v>
      </c>
    </row>
    <row r="312" spans="1:2" x14ac:dyDescent="0.25">
      <c r="A312" s="360" t="s">
        <v>573</v>
      </c>
      <c r="B312" t="s">
        <v>573</v>
      </c>
    </row>
    <row r="313" spans="1:2" ht="22.5" x14ac:dyDescent="0.25">
      <c r="A313" s="363" t="s">
        <v>575</v>
      </c>
      <c r="B313" t="s">
        <v>575</v>
      </c>
    </row>
    <row r="314" spans="1:2" x14ac:dyDescent="0.25">
      <c r="A314" s="180" t="s">
        <v>576</v>
      </c>
      <c r="B314" t="s">
        <v>576</v>
      </c>
    </row>
    <row r="315" spans="1:2" x14ac:dyDescent="0.25">
      <c r="A315" s="180" t="s">
        <v>577</v>
      </c>
      <c r="B315" t="s">
        <v>1337</v>
      </c>
    </row>
    <row r="316" spans="1:2" x14ac:dyDescent="0.25">
      <c r="A316" s="180" t="s">
        <v>578</v>
      </c>
      <c r="B316" t="s">
        <v>1338</v>
      </c>
    </row>
    <row r="317" spans="1:2" x14ac:dyDescent="0.25">
      <c r="A317" s="180" t="s">
        <v>579</v>
      </c>
      <c r="B317" t="s">
        <v>579</v>
      </c>
    </row>
    <row r="318" spans="1:2" x14ac:dyDescent="0.25">
      <c r="A318" s="360" t="s">
        <v>580</v>
      </c>
      <c r="B318" t="s">
        <v>580</v>
      </c>
    </row>
    <row r="319" spans="1:2" x14ac:dyDescent="0.25">
      <c r="A319" s="360" t="s">
        <v>581</v>
      </c>
      <c r="B319" t="s">
        <v>581</v>
      </c>
    </row>
    <row r="320" spans="1:2" x14ac:dyDescent="0.25">
      <c r="A320" s="360" t="s">
        <v>582</v>
      </c>
      <c r="B320" t="s">
        <v>582</v>
      </c>
    </row>
    <row r="321" spans="1:2" x14ac:dyDescent="0.25">
      <c r="A321" s="360" t="s">
        <v>1033</v>
      </c>
      <c r="B321" t="s">
        <v>1033</v>
      </c>
    </row>
    <row r="322" spans="1:2" x14ac:dyDescent="0.25">
      <c r="A322" s="180" t="s">
        <v>584</v>
      </c>
      <c r="B322" t="s">
        <v>584</v>
      </c>
    </row>
    <row r="323" spans="1:2" x14ac:dyDescent="0.25">
      <c r="A323" s="180" t="s">
        <v>585</v>
      </c>
      <c r="B323" t="s">
        <v>585</v>
      </c>
    </row>
    <row r="324" spans="1:2" x14ac:dyDescent="0.25">
      <c r="A324" s="180" t="s">
        <v>587</v>
      </c>
      <c r="B324" t="s">
        <v>587</v>
      </c>
    </row>
    <row r="325" spans="1:2" x14ac:dyDescent="0.25">
      <c r="A325" s="180" t="s">
        <v>588</v>
      </c>
      <c r="B325" t="s">
        <v>588</v>
      </c>
    </row>
    <row r="326" spans="1:2" x14ac:dyDescent="0.25">
      <c r="A326" s="180" t="s">
        <v>589</v>
      </c>
      <c r="B326" t="s">
        <v>589</v>
      </c>
    </row>
    <row r="327" spans="1:2" x14ac:dyDescent="0.25">
      <c r="A327" s="180" t="s">
        <v>590</v>
      </c>
      <c r="B327" t="s">
        <v>590</v>
      </c>
    </row>
    <row r="328" spans="1:2" x14ac:dyDescent="0.25">
      <c r="A328" s="360" t="s">
        <v>591</v>
      </c>
      <c r="B328" t="s">
        <v>591</v>
      </c>
    </row>
    <row r="329" spans="1:2" x14ac:dyDescent="0.25">
      <c r="A329" s="360" t="s">
        <v>592</v>
      </c>
      <c r="B329" t="s">
        <v>592</v>
      </c>
    </row>
    <row r="330" spans="1:2" x14ac:dyDescent="0.25">
      <c r="A330" s="360" t="s">
        <v>593</v>
      </c>
      <c r="B330" t="s">
        <v>593</v>
      </c>
    </row>
    <row r="331" spans="1:2" x14ac:dyDescent="0.25">
      <c r="A331" s="360" t="s">
        <v>1034</v>
      </c>
      <c r="B331" t="s">
        <v>1034</v>
      </c>
    </row>
    <row r="332" spans="1:2" x14ac:dyDescent="0.25">
      <c r="A332" s="180" t="s">
        <v>598</v>
      </c>
      <c r="B332" t="s">
        <v>598</v>
      </c>
    </row>
    <row r="333" spans="1:2" x14ac:dyDescent="0.25">
      <c r="A333" s="180" t="s">
        <v>599</v>
      </c>
      <c r="B333" t="s">
        <v>1339</v>
      </c>
    </row>
    <row r="334" spans="1:2" x14ac:dyDescent="0.25">
      <c r="A334" s="360" t="s">
        <v>1101</v>
      </c>
      <c r="B334" t="s">
        <v>1101</v>
      </c>
    </row>
    <row r="335" spans="1:2" x14ac:dyDescent="0.25">
      <c r="A335" s="360" t="s">
        <v>602</v>
      </c>
      <c r="B335" t="s">
        <v>602</v>
      </c>
    </row>
    <row r="336" spans="1:2" x14ac:dyDescent="0.25">
      <c r="A336" s="360" t="s">
        <v>1036</v>
      </c>
      <c r="B336" t="s">
        <v>1036</v>
      </c>
    </row>
    <row r="337" spans="1:2" x14ac:dyDescent="0.25">
      <c r="A337" s="360" t="s">
        <v>1037</v>
      </c>
      <c r="B337" t="s">
        <v>1037</v>
      </c>
    </row>
    <row r="338" spans="1:2" x14ac:dyDescent="0.25">
      <c r="A338" s="360" t="s">
        <v>605</v>
      </c>
      <c r="B338" t="s">
        <v>605</v>
      </c>
    </row>
    <row r="339" spans="1:2" x14ac:dyDescent="0.25">
      <c r="A339" s="180" t="s">
        <v>607</v>
      </c>
      <c r="B339" t="s">
        <v>1340</v>
      </c>
    </row>
    <row r="340" spans="1:2" x14ac:dyDescent="0.25">
      <c r="A340" s="180" t="s">
        <v>608</v>
      </c>
      <c r="B340" t="s">
        <v>608</v>
      </c>
    </row>
    <row r="341" spans="1:2" x14ac:dyDescent="0.25">
      <c r="A341" s="360" t="s">
        <v>1102</v>
      </c>
      <c r="B341" t="s">
        <v>1102</v>
      </c>
    </row>
    <row r="342" spans="1:2" x14ac:dyDescent="0.25">
      <c r="A342" s="368" t="s">
        <v>1313</v>
      </c>
      <c r="B342" t="s">
        <v>1313</v>
      </c>
    </row>
    <row r="343" spans="1:2" x14ac:dyDescent="0.25">
      <c r="A343" s="180" t="s">
        <v>613</v>
      </c>
      <c r="B343" t="s">
        <v>613</v>
      </c>
    </row>
    <row r="344" spans="1:2" x14ac:dyDescent="0.25">
      <c r="A344" s="180" t="s">
        <v>620</v>
      </c>
      <c r="B344" t="s">
        <v>620</v>
      </c>
    </row>
    <row r="345" spans="1:2" x14ac:dyDescent="0.25">
      <c r="A345" s="180" t="s">
        <v>621</v>
      </c>
      <c r="B345" t="s">
        <v>621</v>
      </c>
    </row>
    <row r="346" spans="1:2" x14ac:dyDescent="0.25">
      <c r="A346" s="370" t="s">
        <v>1038</v>
      </c>
      <c r="B346" t="s">
        <v>1038</v>
      </c>
    </row>
    <row r="347" spans="1:2" x14ac:dyDescent="0.25">
      <c r="A347" s="180" t="s">
        <v>622</v>
      </c>
      <c r="B347" t="s">
        <v>622</v>
      </c>
    </row>
    <row r="348" spans="1:2" x14ac:dyDescent="0.25">
      <c r="A348" s="360" t="s">
        <v>624</v>
      </c>
      <c r="B348" t="s">
        <v>624</v>
      </c>
    </row>
    <row r="349" spans="1:2" x14ac:dyDescent="0.25">
      <c r="A349" s="180" t="s">
        <v>625</v>
      </c>
      <c r="B349" t="s">
        <v>625</v>
      </c>
    </row>
    <row r="350" spans="1:2" x14ac:dyDescent="0.25">
      <c r="A350" s="360" t="s">
        <v>1039</v>
      </c>
      <c r="B350" t="s">
        <v>1039</v>
      </c>
    </row>
    <row r="351" spans="1:2" x14ac:dyDescent="0.25">
      <c r="A351" s="360" t="s">
        <v>1103</v>
      </c>
      <c r="B351" t="s">
        <v>1103</v>
      </c>
    </row>
    <row r="352" spans="1:2" x14ac:dyDescent="0.25">
      <c r="A352" s="360" t="s">
        <v>1104</v>
      </c>
      <c r="B352" t="s">
        <v>1104</v>
      </c>
    </row>
    <row r="353" spans="1:2" x14ac:dyDescent="0.25">
      <c r="A353" s="360" t="s">
        <v>633</v>
      </c>
      <c r="B353" t="s">
        <v>633</v>
      </c>
    </row>
    <row r="354" spans="1:2" x14ac:dyDescent="0.25">
      <c r="A354" s="180" t="s">
        <v>634</v>
      </c>
      <c r="B354" t="s">
        <v>634</v>
      </c>
    </row>
    <row r="355" spans="1:2" x14ac:dyDescent="0.25">
      <c r="A355" s="360" t="s">
        <v>635</v>
      </c>
      <c r="B355" t="s">
        <v>635</v>
      </c>
    </row>
    <row r="356" spans="1:2" x14ac:dyDescent="0.25">
      <c r="A356" s="360" t="s">
        <v>636</v>
      </c>
      <c r="B356" t="s">
        <v>636</v>
      </c>
    </row>
    <row r="357" spans="1:2" x14ac:dyDescent="0.25">
      <c r="A357" s="360" t="s">
        <v>640</v>
      </c>
      <c r="B357" t="s">
        <v>640</v>
      </c>
    </row>
    <row r="358" spans="1:2" x14ac:dyDescent="0.25">
      <c r="A358" s="368" t="s">
        <v>642</v>
      </c>
      <c r="B358" t="s">
        <v>642</v>
      </c>
    </row>
    <row r="359" spans="1:2" ht="23.25" x14ac:dyDescent="0.25">
      <c r="A359" s="367" t="s">
        <v>643</v>
      </c>
      <c r="B359" t="s">
        <v>643</v>
      </c>
    </row>
    <row r="360" spans="1:2" x14ac:dyDescent="0.25">
      <c r="A360" s="180" t="s">
        <v>645</v>
      </c>
      <c r="B360" t="s">
        <v>645</v>
      </c>
    </row>
    <row r="361" spans="1:2" x14ac:dyDescent="0.25">
      <c r="A361" s="180" t="s">
        <v>649</v>
      </c>
      <c r="B361" t="s">
        <v>649</v>
      </c>
    </row>
    <row r="362" spans="1:2" x14ac:dyDescent="0.25">
      <c r="A362" s="180" t="s">
        <v>650</v>
      </c>
      <c r="B362" t="s">
        <v>650</v>
      </c>
    </row>
    <row r="363" spans="1:2" x14ac:dyDescent="0.25">
      <c r="A363" s="360" t="s">
        <v>651</v>
      </c>
      <c r="B363" t="s">
        <v>651</v>
      </c>
    </row>
    <row r="364" spans="1:2" x14ac:dyDescent="0.25">
      <c r="A364" s="360" t="s">
        <v>652</v>
      </c>
      <c r="B364" t="s">
        <v>652</v>
      </c>
    </row>
    <row r="365" spans="1:2" x14ac:dyDescent="0.25">
      <c r="A365" s="360" t="s">
        <v>1105</v>
      </c>
      <c r="B365" t="s">
        <v>1105</v>
      </c>
    </row>
    <row r="366" spans="1:2" x14ac:dyDescent="0.25">
      <c r="A366" s="360" t="s">
        <v>1040</v>
      </c>
      <c r="B366" t="s">
        <v>1040</v>
      </c>
    </row>
    <row r="367" spans="1:2" x14ac:dyDescent="0.25">
      <c r="A367" s="360" t="s">
        <v>1041</v>
      </c>
      <c r="B367" t="s">
        <v>1041</v>
      </c>
    </row>
    <row r="368" spans="1:2" x14ac:dyDescent="0.25">
      <c r="A368" s="360" t="s">
        <v>658</v>
      </c>
      <c r="B368" t="s">
        <v>658</v>
      </c>
    </row>
    <row r="369" spans="1:2" x14ac:dyDescent="0.25">
      <c r="A369" s="180" t="s">
        <v>660</v>
      </c>
      <c r="B369" t="s">
        <v>660</v>
      </c>
    </row>
    <row r="370" spans="1:2" x14ac:dyDescent="0.25">
      <c r="A370" s="180" t="s">
        <v>661</v>
      </c>
      <c r="B370" t="s">
        <v>661</v>
      </c>
    </row>
    <row r="371" spans="1:2" x14ac:dyDescent="0.25">
      <c r="A371" s="180" t="s">
        <v>662</v>
      </c>
      <c r="B371" t="s">
        <v>662</v>
      </c>
    </row>
    <row r="372" spans="1:2" x14ac:dyDescent="0.25">
      <c r="A372" s="360" t="s">
        <v>665</v>
      </c>
      <c r="B372" t="s">
        <v>665</v>
      </c>
    </row>
    <row r="373" spans="1:2" x14ac:dyDescent="0.25">
      <c r="A373" s="360" t="s">
        <v>1042</v>
      </c>
      <c r="B373" t="s">
        <v>1042</v>
      </c>
    </row>
    <row r="374" spans="1:2" x14ac:dyDescent="0.25">
      <c r="A374" s="360" t="s">
        <v>669</v>
      </c>
      <c r="B374" t="s">
        <v>669</v>
      </c>
    </row>
    <row r="375" spans="1:2" ht="22.5" x14ac:dyDescent="0.25">
      <c r="A375" s="363" t="s">
        <v>670</v>
      </c>
      <c r="B375" t="s">
        <v>670</v>
      </c>
    </row>
    <row r="376" spans="1:2" ht="34.5" x14ac:dyDescent="0.25">
      <c r="A376" s="332" t="s">
        <v>673</v>
      </c>
      <c r="B376" t="s">
        <v>673</v>
      </c>
    </row>
    <row r="377" spans="1:2" ht="23.25" x14ac:dyDescent="0.25">
      <c r="A377" s="332" t="s">
        <v>1318</v>
      </c>
      <c r="B377" t="s">
        <v>1318</v>
      </c>
    </row>
    <row r="378" spans="1:2" x14ac:dyDescent="0.25">
      <c r="A378" s="180" t="s">
        <v>675</v>
      </c>
      <c r="B378" t="s">
        <v>675</v>
      </c>
    </row>
    <row r="379" spans="1:2" x14ac:dyDescent="0.25">
      <c r="A379" s="360" t="s">
        <v>1106</v>
      </c>
      <c r="B379" t="s">
        <v>1106</v>
      </c>
    </row>
    <row r="380" spans="1:2" x14ac:dyDescent="0.25">
      <c r="A380" s="180" t="s">
        <v>677</v>
      </c>
      <c r="B380" t="s">
        <v>1341</v>
      </c>
    </row>
    <row r="381" spans="1:2" x14ac:dyDescent="0.25">
      <c r="A381" s="360" t="s">
        <v>678</v>
      </c>
      <c r="B381" t="s">
        <v>678</v>
      </c>
    </row>
    <row r="382" spans="1:2" x14ac:dyDescent="0.25">
      <c r="A382" s="360" t="s">
        <v>679</v>
      </c>
      <c r="B382" t="s">
        <v>679</v>
      </c>
    </row>
    <row r="383" spans="1:2" x14ac:dyDescent="0.25">
      <c r="A383" s="360" t="s">
        <v>1107</v>
      </c>
      <c r="B383" t="s">
        <v>1107</v>
      </c>
    </row>
    <row r="384" spans="1:2" x14ac:dyDescent="0.25">
      <c r="A384" s="360" t="s">
        <v>682</v>
      </c>
      <c r="B384" t="s">
        <v>682</v>
      </c>
    </row>
    <row r="385" spans="1:2" x14ac:dyDescent="0.25">
      <c r="A385" s="360" t="s">
        <v>683</v>
      </c>
      <c r="B385" t="s">
        <v>683</v>
      </c>
    </row>
    <row r="386" spans="1:2" ht="23.25" x14ac:dyDescent="0.25">
      <c r="A386" s="367" t="s">
        <v>687</v>
      </c>
      <c r="B386" t="s">
        <v>687</v>
      </c>
    </row>
    <row r="387" spans="1:2" x14ac:dyDescent="0.25">
      <c r="A387" s="180" t="s">
        <v>688</v>
      </c>
      <c r="B387" t="s">
        <v>688</v>
      </c>
    </row>
    <row r="388" spans="1:2" x14ac:dyDescent="0.25">
      <c r="A388" s="360" t="s">
        <v>689</v>
      </c>
      <c r="B388" t="s">
        <v>689</v>
      </c>
    </row>
    <row r="389" spans="1:2" x14ac:dyDescent="0.25">
      <c r="A389" s="180" t="s">
        <v>690</v>
      </c>
      <c r="B389" t="s">
        <v>690</v>
      </c>
    </row>
    <row r="390" spans="1:2" x14ac:dyDescent="0.25">
      <c r="A390" s="180" t="s">
        <v>691</v>
      </c>
      <c r="B390" t="s">
        <v>691</v>
      </c>
    </row>
    <row r="391" spans="1:2" x14ac:dyDescent="0.25">
      <c r="A391" s="180" t="s">
        <v>692</v>
      </c>
      <c r="B391" t="s">
        <v>692</v>
      </c>
    </row>
    <row r="392" spans="1:2" x14ac:dyDescent="0.25">
      <c r="A392" s="360" t="s">
        <v>1045</v>
      </c>
      <c r="B392" t="s">
        <v>1045</v>
      </c>
    </row>
    <row r="393" spans="1:2" x14ac:dyDescent="0.25">
      <c r="A393" s="180" t="s">
        <v>695</v>
      </c>
      <c r="B393" t="s">
        <v>1342</v>
      </c>
    </row>
    <row r="394" spans="1:2" x14ac:dyDescent="0.25">
      <c r="A394" s="360" t="s">
        <v>1047</v>
      </c>
      <c r="B394" t="s">
        <v>1047</v>
      </c>
    </row>
    <row r="395" spans="1:2" x14ac:dyDescent="0.25">
      <c r="A395" s="360" t="s">
        <v>698</v>
      </c>
      <c r="B395" t="s">
        <v>698</v>
      </c>
    </row>
    <row r="396" spans="1:2" x14ac:dyDescent="0.25">
      <c r="A396" s="180" t="s">
        <v>699</v>
      </c>
      <c r="B396" t="s">
        <v>699</v>
      </c>
    </row>
    <row r="397" spans="1:2" x14ac:dyDescent="0.25">
      <c r="A397" s="360" t="s">
        <v>1109</v>
      </c>
      <c r="B397" t="s">
        <v>1109</v>
      </c>
    </row>
    <row r="398" spans="1:2" x14ac:dyDescent="0.25">
      <c r="A398" s="180" t="s">
        <v>702</v>
      </c>
      <c r="B398" t="s">
        <v>702</v>
      </c>
    </row>
    <row r="399" spans="1:2" x14ac:dyDescent="0.25">
      <c r="A399" s="180" t="s">
        <v>703</v>
      </c>
      <c r="B399" t="s">
        <v>703</v>
      </c>
    </row>
    <row r="400" spans="1:2" x14ac:dyDescent="0.25">
      <c r="A400" s="180" t="s">
        <v>704</v>
      </c>
      <c r="B400" t="s">
        <v>704</v>
      </c>
    </row>
    <row r="401" spans="1:2" x14ac:dyDescent="0.25">
      <c r="A401" s="372" t="s">
        <v>705</v>
      </c>
      <c r="B401" t="s">
        <v>705</v>
      </c>
    </row>
    <row r="402" spans="1:2" x14ac:dyDescent="0.25">
      <c r="A402" s="180" t="s">
        <v>706</v>
      </c>
      <c r="B402" t="s">
        <v>706</v>
      </c>
    </row>
    <row r="403" spans="1:2" x14ac:dyDescent="0.25">
      <c r="A403" s="360" t="s">
        <v>1110</v>
      </c>
      <c r="B403" t="s">
        <v>1110</v>
      </c>
    </row>
    <row r="404" spans="1:2" x14ac:dyDescent="0.25">
      <c r="A404" s="180" t="s">
        <v>709</v>
      </c>
      <c r="B404" t="s">
        <v>1343</v>
      </c>
    </row>
    <row r="405" spans="1:2" x14ac:dyDescent="0.25">
      <c r="A405" s="180" t="s">
        <v>710</v>
      </c>
      <c r="B405" t="s">
        <v>1319</v>
      </c>
    </row>
    <row r="406" spans="1:2" x14ac:dyDescent="0.25">
      <c r="A406" s="360" t="s">
        <v>1111</v>
      </c>
      <c r="B406" t="s">
        <v>1111</v>
      </c>
    </row>
    <row r="407" spans="1:2" x14ac:dyDescent="0.25">
      <c r="A407" s="180" t="s">
        <v>714</v>
      </c>
      <c r="B407" t="s">
        <v>714</v>
      </c>
    </row>
    <row r="408" spans="1:2" x14ac:dyDescent="0.25">
      <c r="A408" s="360" t="s">
        <v>715</v>
      </c>
      <c r="B408" t="s">
        <v>715</v>
      </c>
    </row>
    <row r="409" spans="1:2" x14ac:dyDescent="0.25">
      <c r="A409" s="180" t="s">
        <v>718</v>
      </c>
      <c r="B409" t="s">
        <v>718</v>
      </c>
    </row>
    <row r="410" spans="1:2" x14ac:dyDescent="0.25">
      <c r="A410" s="360" t="s">
        <v>1048</v>
      </c>
      <c r="B410" t="s">
        <v>1048</v>
      </c>
    </row>
    <row r="411" spans="1:2" x14ac:dyDescent="0.25">
      <c r="A411" s="180" t="s">
        <v>720</v>
      </c>
      <c r="B411" t="s">
        <v>720</v>
      </c>
    </row>
    <row r="412" spans="1:2" x14ac:dyDescent="0.25">
      <c r="A412" s="180" t="s">
        <v>722</v>
      </c>
      <c r="B412" t="s">
        <v>722</v>
      </c>
    </row>
    <row r="413" spans="1:2" x14ac:dyDescent="0.25">
      <c r="A413" s="180" t="s">
        <v>724</v>
      </c>
      <c r="B413" t="s">
        <v>724</v>
      </c>
    </row>
    <row r="414" spans="1:2" x14ac:dyDescent="0.25">
      <c r="A414" s="360" t="s">
        <v>725</v>
      </c>
      <c r="B414" t="s">
        <v>725</v>
      </c>
    </row>
    <row r="415" spans="1:2" x14ac:dyDescent="0.25">
      <c r="A415" s="361" t="s">
        <v>726</v>
      </c>
      <c r="B415" t="s">
        <v>726</v>
      </c>
    </row>
    <row r="416" spans="1:2" x14ac:dyDescent="0.25">
      <c r="A416" s="360" t="s">
        <v>728</v>
      </c>
      <c r="B416" t="s">
        <v>728</v>
      </c>
    </row>
    <row r="417" spans="1:2" x14ac:dyDescent="0.25">
      <c r="A417" s="180" t="s">
        <v>731</v>
      </c>
      <c r="B417" t="s">
        <v>731</v>
      </c>
    </row>
    <row r="418" spans="1:2" x14ac:dyDescent="0.25">
      <c r="A418" s="180" t="s">
        <v>732</v>
      </c>
      <c r="B418" t="s">
        <v>732</v>
      </c>
    </row>
    <row r="419" spans="1:2" x14ac:dyDescent="0.25">
      <c r="A419" s="180" t="s">
        <v>733</v>
      </c>
      <c r="B419" t="s">
        <v>733</v>
      </c>
    </row>
    <row r="420" spans="1:2" x14ac:dyDescent="0.25">
      <c r="A420" s="180" t="s">
        <v>734</v>
      </c>
      <c r="B420" t="s">
        <v>734</v>
      </c>
    </row>
    <row r="421" spans="1:2" x14ac:dyDescent="0.25">
      <c r="A421" s="360" t="s">
        <v>1049</v>
      </c>
      <c r="B421" t="s">
        <v>1049</v>
      </c>
    </row>
    <row r="422" spans="1:2" x14ac:dyDescent="0.25">
      <c r="A422" s="180" t="s">
        <v>736</v>
      </c>
      <c r="B422" t="s">
        <v>736</v>
      </c>
    </row>
    <row r="423" spans="1:2" x14ac:dyDescent="0.25">
      <c r="A423" s="360" t="s">
        <v>737</v>
      </c>
      <c r="B423" t="s">
        <v>737</v>
      </c>
    </row>
    <row r="424" spans="1:2" x14ac:dyDescent="0.25">
      <c r="A424" s="360" t="s">
        <v>1050</v>
      </c>
      <c r="B424" t="s">
        <v>1050</v>
      </c>
    </row>
    <row r="425" spans="1:2" x14ac:dyDescent="0.25">
      <c r="A425" s="180" t="s">
        <v>738</v>
      </c>
      <c r="B425" t="s">
        <v>738</v>
      </c>
    </row>
    <row r="426" spans="1:2" x14ac:dyDescent="0.25">
      <c r="A426" s="180" t="s">
        <v>739</v>
      </c>
      <c r="B426" t="s">
        <v>739</v>
      </c>
    </row>
    <row r="427" spans="1:2" x14ac:dyDescent="0.25">
      <c r="A427" s="180" t="s">
        <v>740</v>
      </c>
      <c r="B427" t="s">
        <v>740</v>
      </c>
    </row>
    <row r="428" spans="1:2" x14ac:dyDescent="0.25">
      <c r="A428" s="180" t="s">
        <v>741</v>
      </c>
      <c r="B428" t="s">
        <v>741</v>
      </c>
    </row>
    <row r="429" spans="1:2" x14ac:dyDescent="0.25">
      <c r="A429" s="360" t="s">
        <v>742</v>
      </c>
      <c r="B429" t="s">
        <v>742</v>
      </c>
    </row>
    <row r="430" spans="1:2" x14ac:dyDescent="0.25">
      <c r="A430" s="180" t="s">
        <v>743</v>
      </c>
      <c r="B430" t="s">
        <v>743</v>
      </c>
    </row>
    <row r="431" spans="1:2" x14ac:dyDescent="0.25">
      <c r="A431" s="180" t="s">
        <v>744</v>
      </c>
      <c r="B431" t="s">
        <v>744</v>
      </c>
    </row>
    <row r="432" spans="1:2" x14ac:dyDescent="0.25">
      <c r="A432" s="360" t="s">
        <v>1051</v>
      </c>
      <c r="B432" t="s">
        <v>1051</v>
      </c>
    </row>
    <row r="433" spans="1:2" x14ac:dyDescent="0.25">
      <c r="A433" s="180" t="s">
        <v>750</v>
      </c>
      <c r="B433" t="s">
        <v>750</v>
      </c>
    </row>
    <row r="434" spans="1:2" x14ac:dyDescent="0.25">
      <c r="A434" s="360" t="s">
        <v>751</v>
      </c>
      <c r="B434" t="s">
        <v>751</v>
      </c>
    </row>
    <row r="435" spans="1:2" x14ac:dyDescent="0.25">
      <c r="A435" s="180" t="s">
        <v>752</v>
      </c>
      <c r="B435" t="s">
        <v>752</v>
      </c>
    </row>
    <row r="436" spans="1:2" x14ac:dyDescent="0.25">
      <c r="A436" s="180" t="s">
        <v>753</v>
      </c>
      <c r="B436" t="s">
        <v>753</v>
      </c>
    </row>
    <row r="437" spans="1:2" x14ac:dyDescent="0.25">
      <c r="A437" s="180" t="s">
        <v>754</v>
      </c>
      <c r="B437" t="s">
        <v>1344</v>
      </c>
    </row>
    <row r="438" spans="1:2" x14ac:dyDescent="0.25">
      <c r="A438" s="180" t="s">
        <v>755</v>
      </c>
      <c r="B438" t="s">
        <v>755</v>
      </c>
    </row>
    <row r="439" spans="1:2" x14ac:dyDescent="0.25">
      <c r="A439" s="360" t="s">
        <v>756</v>
      </c>
      <c r="B439" t="s">
        <v>756</v>
      </c>
    </row>
    <row r="440" spans="1:2" x14ac:dyDescent="0.25">
      <c r="A440" s="359" t="s">
        <v>1052</v>
      </c>
      <c r="B440" t="s">
        <v>1052</v>
      </c>
    </row>
    <row r="441" spans="1:2" x14ac:dyDescent="0.25">
      <c r="A441" s="372" t="s">
        <v>758</v>
      </c>
      <c r="B441" t="s">
        <v>758</v>
      </c>
    </row>
    <row r="442" spans="1:2" x14ac:dyDescent="0.25">
      <c r="A442" s="181" t="s">
        <v>760</v>
      </c>
      <c r="B442" t="s">
        <v>760</v>
      </c>
    </row>
    <row r="443" spans="1:2" x14ac:dyDescent="0.25">
      <c r="A443" s="370" t="s">
        <v>1053</v>
      </c>
      <c r="B443" t="s">
        <v>1053</v>
      </c>
    </row>
    <row r="444" spans="1:2" x14ac:dyDescent="0.25">
      <c r="A444" s="180" t="s">
        <v>762</v>
      </c>
      <c r="B444" t="s">
        <v>762</v>
      </c>
    </row>
    <row r="445" spans="1:2" x14ac:dyDescent="0.25">
      <c r="A445" s="180" t="s">
        <v>763</v>
      </c>
      <c r="B445" t="s">
        <v>1345</v>
      </c>
    </row>
    <row r="446" spans="1:2" x14ac:dyDescent="0.25">
      <c r="A446" s="373" t="s">
        <v>1054</v>
      </c>
      <c r="B446" t="s">
        <v>1054</v>
      </c>
    </row>
    <row r="447" spans="1:2" x14ac:dyDescent="0.25">
      <c r="A447" s="370" t="s">
        <v>767</v>
      </c>
      <c r="B447" t="s">
        <v>767</v>
      </c>
    </row>
    <row r="448" spans="1:2" x14ac:dyDescent="0.25">
      <c r="A448" s="180" t="s">
        <v>770</v>
      </c>
      <c r="B448" t="s">
        <v>770</v>
      </c>
    </row>
    <row r="449" spans="1:2" x14ac:dyDescent="0.25">
      <c r="A449" s="370" t="s">
        <v>771</v>
      </c>
      <c r="B449" t="s">
        <v>771</v>
      </c>
    </row>
    <row r="450" spans="1:2" x14ac:dyDescent="0.25">
      <c r="A450" s="180" t="s">
        <v>772</v>
      </c>
      <c r="B450" t="s">
        <v>772</v>
      </c>
    </row>
    <row r="451" spans="1:2" x14ac:dyDescent="0.25">
      <c r="A451" s="370" t="s">
        <v>773</v>
      </c>
      <c r="B451" t="s">
        <v>773</v>
      </c>
    </row>
    <row r="452" spans="1:2" x14ac:dyDescent="0.25">
      <c r="A452" s="180" t="s">
        <v>774</v>
      </c>
      <c r="B452" t="s">
        <v>774</v>
      </c>
    </row>
    <row r="453" spans="1:2" x14ac:dyDescent="0.25">
      <c r="A453" s="180" t="s">
        <v>775</v>
      </c>
      <c r="B453" t="s">
        <v>775</v>
      </c>
    </row>
    <row r="454" spans="1:2" x14ac:dyDescent="0.25">
      <c r="A454" s="366" t="s">
        <v>776</v>
      </c>
      <c r="B454" t="s">
        <v>776</v>
      </c>
    </row>
    <row r="455" spans="1:2" x14ac:dyDescent="0.25">
      <c r="A455" s="370" t="s">
        <v>1056</v>
      </c>
      <c r="B455" t="s">
        <v>1056</v>
      </c>
    </row>
    <row r="456" spans="1:2" x14ac:dyDescent="0.25">
      <c r="A456" s="370" t="s">
        <v>778</v>
      </c>
      <c r="B456" t="s">
        <v>778</v>
      </c>
    </row>
    <row r="457" spans="1:2" x14ac:dyDescent="0.25">
      <c r="A457" s="180" t="s">
        <v>780</v>
      </c>
      <c r="B457" t="s">
        <v>1346</v>
      </c>
    </row>
    <row r="458" spans="1:2" x14ac:dyDescent="0.25">
      <c r="A458" s="370" t="s">
        <v>781</v>
      </c>
      <c r="B458" t="s">
        <v>781</v>
      </c>
    </row>
    <row r="459" spans="1:2" x14ac:dyDescent="0.25">
      <c r="A459" s="370" t="s">
        <v>782</v>
      </c>
      <c r="B459" t="s">
        <v>782</v>
      </c>
    </row>
    <row r="460" spans="1:2" x14ac:dyDescent="0.25">
      <c r="A460" s="370" t="s">
        <v>783</v>
      </c>
      <c r="B460" t="s">
        <v>783</v>
      </c>
    </row>
    <row r="461" spans="1:2" x14ac:dyDescent="0.25">
      <c r="A461" s="370" t="s">
        <v>1059</v>
      </c>
      <c r="B461" t="s">
        <v>1059</v>
      </c>
    </row>
    <row r="462" spans="1:2" x14ac:dyDescent="0.25">
      <c r="A462" s="370" t="s">
        <v>786</v>
      </c>
      <c r="B462" t="s">
        <v>786</v>
      </c>
    </row>
    <row r="463" spans="1:2" x14ac:dyDescent="0.25">
      <c r="A463" s="180" t="s">
        <v>787</v>
      </c>
      <c r="B463" t="s">
        <v>787</v>
      </c>
    </row>
    <row r="464" spans="1:2" x14ac:dyDescent="0.25">
      <c r="A464" s="180" t="s">
        <v>790</v>
      </c>
      <c r="B464" t="s">
        <v>1347</v>
      </c>
    </row>
    <row r="465" spans="1:2" x14ac:dyDescent="0.25">
      <c r="A465" s="370" t="s">
        <v>1060</v>
      </c>
      <c r="B465" t="s">
        <v>1060</v>
      </c>
    </row>
    <row r="466" spans="1:2" x14ac:dyDescent="0.25">
      <c r="A466" s="180" t="s">
        <v>792</v>
      </c>
      <c r="B466" t="s">
        <v>792</v>
      </c>
    </row>
    <row r="467" spans="1:2" x14ac:dyDescent="0.25">
      <c r="A467" s="180" t="s">
        <v>793</v>
      </c>
      <c r="B467" t="s">
        <v>793</v>
      </c>
    </row>
    <row r="468" spans="1:2" x14ac:dyDescent="0.25">
      <c r="A468" s="370" t="s">
        <v>1061</v>
      </c>
      <c r="B468" t="s">
        <v>1061</v>
      </c>
    </row>
    <row r="469" spans="1:2" x14ac:dyDescent="0.25">
      <c r="A469" s="180" t="s">
        <v>795</v>
      </c>
      <c r="B469" t="s">
        <v>795</v>
      </c>
    </row>
    <row r="470" spans="1:2" x14ac:dyDescent="0.25">
      <c r="A470" s="180" t="s">
        <v>796</v>
      </c>
      <c r="B470" t="s">
        <v>796</v>
      </c>
    </row>
    <row r="471" spans="1:2" x14ac:dyDescent="0.25">
      <c r="A471" s="370" t="s">
        <v>797</v>
      </c>
      <c r="B471" t="s">
        <v>797</v>
      </c>
    </row>
    <row r="472" spans="1:2" x14ac:dyDescent="0.25">
      <c r="A472" s="370" t="s">
        <v>798</v>
      </c>
      <c r="B472" t="s">
        <v>798</v>
      </c>
    </row>
    <row r="473" spans="1:2" x14ac:dyDescent="0.25">
      <c r="A473" s="370" t="s">
        <v>799</v>
      </c>
      <c r="B473" t="s">
        <v>799</v>
      </c>
    </row>
    <row r="474" spans="1:2" x14ac:dyDescent="0.25">
      <c r="A474" s="370" t="s">
        <v>800</v>
      </c>
      <c r="B474" t="s">
        <v>800</v>
      </c>
    </row>
    <row r="475" spans="1:2" x14ac:dyDescent="0.25">
      <c r="A475" s="180" t="s">
        <v>803</v>
      </c>
      <c r="B475" t="s">
        <v>803</v>
      </c>
    </row>
    <row r="476" spans="1:2" x14ac:dyDescent="0.25">
      <c r="A476" s="180" t="s">
        <v>804</v>
      </c>
      <c r="B476" t="s">
        <v>1348</v>
      </c>
    </row>
    <row r="477" spans="1:2" x14ac:dyDescent="0.25">
      <c r="A477" s="370" t="s">
        <v>808</v>
      </c>
      <c r="B477" t="s">
        <v>808</v>
      </c>
    </row>
    <row r="478" spans="1:2" x14ac:dyDescent="0.25">
      <c r="A478" s="370" t="s">
        <v>1063</v>
      </c>
      <c r="B478" t="s">
        <v>1063</v>
      </c>
    </row>
    <row r="479" spans="1:2" x14ac:dyDescent="0.25">
      <c r="A479" s="180" t="s">
        <v>812</v>
      </c>
      <c r="B479" t="s">
        <v>1349</v>
      </c>
    </row>
    <row r="480" spans="1:2" x14ac:dyDescent="0.25">
      <c r="A480" s="180" t="s">
        <v>814</v>
      </c>
      <c r="B480" t="s">
        <v>814</v>
      </c>
    </row>
    <row r="481" spans="1:2" x14ac:dyDescent="0.25">
      <c r="A481" s="180" t="s">
        <v>815</v>
      </c>
      <c r="B481" t="s">
        <v>815</v>
      </c>
    </row>
    <row r="482" spans="1:2" x14ac:dyDescent="0.25">
      <c r="A482" s="370" t="s">
        <v>816</v>
      </c>
      <c r="B482" t="s">
        <v>816</v>
      </c>
    </row>
    <row r="483" spans="1:2" x14ac:dyDescent="0.25">
      <c r="A483" s="180" t="s">
        <v>817</v>
      </c>
      <c r="B483" t="s">
        <v>817</v>
      </c>
    </row>
    <row r="484" spans="1:2" x14ac:dyDescent="0.25">
      <c r="A484" s="370" t="s">
        <v>1064</v>
      </c>
      <c r="B484" t="s">
        <v>1064</v>
      </c>
    </row>
    <row r="485" spans="1:2" x14ac:dyDescent="0.25">
      <c r="A485" s="180" t="s">
        <v>819</v>
      </c>
      <c r="B485" t="s">
        <v>819</v>
      </c>
    </row>
    <row r="486" spans="1:2" x14ac:dyDescent="0.25">
      <c r="A486" s="180" t="s">
        <v>820</v>
      </c>
      <c r="B486" t="s">
        <v>820</v>
      </c>
    </row>
    <row r="487" spans="1:2" x14ac:dyDescent="0.25">
      <c r="A487" s="180" t="s">
        <v>822</v>
      </c>
      <c r="B487" t="s">
        <v>822</v>
      </c>
    </row>
    <row r="488" spans="1:2" x14ac:dyDescent="0.25">
      <c r="A488" s="370" t="s">
        <v>823</v>
      </c>
      <c r="B488" t="s">
        <v>823</v>
      </c>
    </row>
    <row r="489" spans="1:2" x14ac:dyDescent="0.25">
      <c r="A489" s="180" t="s">
        <v>825</v>
      </c>
      <c r="B489" t="s">
        <v>825</v>
      </c>
    </row>
    <row r="490" spans="1:2" x14ac:dyDescent="0.25">
      <c r="A490" s="370" t="s">
        <v>826</v>
      </c>
      <c r="B490" t="s">
        <v>826</v>
      </c>
    </row>
    <row r="491" spans="1:2" x14ac:dyDescent="0.25">
      <c r="A491" s="370" t="s">
        <v>828</v>
      </c>
      <c r="B491" t="s">
        <v>828</v>
      </c>
    </row>
    <row r="492" spans="1:2" x14ac:dyDescent="0.25">
      <c r="A492" s="180" t="s">
        <v>830</v>
      </c>
      <c r="B492" t="s">
        <v>830</v>
      </c>
    </row>
    <row r="493" spans="1:2" x14ac:dyDescent="0.25">
      <c r="A493" s="180" t="s">
        <v>831</v>
      </c>
      <c r="B493" t="s">
        <v>831</v>
      </c>
    </row>
    <row r="494" spans="1:2" x14ac:dyDescent="0.25">
      <c r="A494" s="370" t="s">
        <v>832</v>
      </c>
      <c r="B494" t="s">
        <v>832</v>
      </c>
    </row>
    <row r="495" spans="1:2" x14ac:dyDescent="0.25">
      <c r="A495" s="181" t="s">
        <v>835</v>
      </c>
      <c r="B495" t="s">
        <v>835</v>
      </c>
    </row>
    <row r="496" spans="1:2" x14ac:dyDescent="0.25">
      <c r="A496" s="366" t="s">
        <v>836</v>
      </c>
      <c r="B496" t="s">
        <v>836</v>
      </c>
    </row>
    <row r="497" spans="1:2" x14ac:dyDescent="0.25">
      <c r="A497" s="180" t="s">
        <v>839</v>
      </c>
      <c r="B497" t="s">
        <v>839</v>
      </c>
    </row>
    <row r="498" spans="1:2" x14ac:dyDescent="0.25">
      <c r="A498" s="180" t="s">
        <v>840</v>
      </c>
      <c r="B498" t="s">
        <v>840</v>
      </c>
    </row>
    <row r="499" spans="1:2" x14ac:dyDescent="0.25">
      <c r="A499" s="180" t="s">
        <v>841</v>
      </c>
      <c r="B499" t="s">
        <v>841</v>
      </c>
    </row>
    <row r="500" spans="1:2" x14ac:dyDescent="0.25">
      <c r="A500" s="370" t="s">
        <v>842</v>
      </c>
      <c r="B500" t="s">
        <v>842</v>
      </c>
    </row>
    <row r="501" spans="1:2" x14ac:dyDescent="0.25">
      <c r="A501" s="180" t="s">
        <v>844</v>
      </c>
      <c r="B501" t="s">
        <v>844</v>
      </c>
    </row>
    <row r="502" spans="1:2" x14ac:dyDescent="0.25">
      <c r="A502" s="180" t="s">
        <v>845</v>
      </c>
      <c r="B502" t="s">
        <v>845</v>
      </c>
    </row>
    <row r="503" spans="1:2" x14ac:dyDescent="0.25">
      <c r="A503" s="180" t="s">
        <v>846</v>
      </c>
      <c r="B503" t="s">
        <v>846</v>
      </c>
    </row>
    <row r="504" spans="1:2" x14ac:dyDescent="0.25">
      <c r="A504" s="370" t="s">
        <v>847</v>
      </c>
      <c r="B504" t="s">
        <v>847</v>
      </c>
    </row>
    <row r="505" spans="1:2" x14ac:dyDescent="0.25">
      <c r="A505" s="370" t="s">
        <v>848</v>
      </c>
      <c r="B505" t="s">
        <v>848</v>
      </c>
    </row>
    <row r="506" spans="1:2" x14ac:dyDescent="0.25">
      <c r="A506" s="180" t="s">
        <v>849</v>
      </c>
      <c r="B506" t="s">
        <v>1350</v>
      </c>
    </row>
    <row r="507" spans="1:2" x14ac:dyDescent="0.25">
      <c r="A507" s="180" t="s">
        <v>850</v>
      </c>
      <c r="B507" t="s">
        <v>850</v>
      </c>
    </row>
    <row r="508" spans="1:2" x14ac:dyDescent="0.25">
      <c r="A508" s="180" t="s">
        <v>851</v>
      </c>
      <c r="B508" t="s">
        <v>851</v>
      </c>
    </row>
    <row r="509" spans="1:2" x14ac:dyDescent="0.25">
      <c r="A509" s="180" t="s">
        <v>853</v>
      </c>
      <c r="B509" t="s">
        <v>853</v>
      </c>
    </row>
    <row r="510" spans="1:2" ht="57" x14ac:dyDescent="0.25">
      <c r="A510" s="332" t="s">
        <v>1311</v>
      </c>
      <c r="B510" t="s">
        <v>1311</v>
      </c>
    </row>
    <row r="511" spans="1:2" x14ac:dyDescent="0.25">
      <c r="A511" s="180" t="s">
        <v>855</v>
      </c>
      <c r="B511" t="s">
        <v>855</v>
      </c>
    </row>
    <row r="512" spans="1:2" x14ac:dyDescent="0.25">
      <c r="A512" s="180" t="s">
        <v>856</v>
      </c>
      <c r="B512" t="s">
        <v>856</v>
      </c>
    </row>
    <row r="513" spans="1:2" x14ac:dyDescent="0.25">
      <c r="A513" s="180" t="s">
        <v>858</v>
      </c>
      <c r="B513" t="s">
        <v>1351</v>
      </c>
    </row>
    <row r="514" spans="1:2" x14ac:dyDescent="0.25">
      <c r="A514" s="370" t="s">
        <v>861</v>
      </c>
      <c r="B514" t="s">
        <v>861</v>
      </c>
    </row>
    <row r="515" spans="1:2" x14ac:dyDescent="0.25">
      <c r="A515" s="370" t="s">
        <v>862</v>
      </c>
      <c r="B515" t="s">
        <v>862</v>
      </c>
    </row>
    <row r="516" spans="1:2" x14ac:dyDescent="0.25">
      <c r="A516" s="370" t="s">
        <v>1066</v>
      </c>
      <c r="B516" t="s">
        <v>1066</v>
      </c>
    </row>
    <row r="517" spans="1:2" x14ac:dyDescent="0.25">
      <c r="A517" s="370" t="s">
        <v>1113</v>
      </c>
      <c r="B517" t="s">
        <v>1113</v>
      </c>
    </row>
    <row r="518" spans="1:2" x14ac:dyDescent="0.25">
      <c r="A518" s="180" t="s">
        <v>874</v>
      </c>
      <c r="B518" t="s">
        <v>874</v>
      </c>
    </row>
    <row r="519" spans="1:2" x14ac:dyDescent="0.25">
      <c r="A519" s="370" t="s">
        <v>877</v>
      </c>
      <c r="B519" t="s">
        <v>877</v>
      </c>
    </row>
    <row r="520" spans="1:2" x14ac:dyDescent="0.25">
      <c r="A520" s="370" t="s">
        <v>878</v>
      </c>
      <c r="B520" t="s">
        <v>878</v>
      </c>
    </row>
    <row r="521" spans="1:2" x14ac:dyDescent="0.25">
      <c r="A521" s="370" t="s">
        <v>879</v>
      </c>
      <c r="B521" t="s">
        <v>879</v>
      </c>
    </row>
    <row r="522" spans="1:2" x14ac:dyDescent="0.25">
      <c r="A522" s="370" t="s">
        <v>881</v>
      </c>
      <c r="B522" t="s">
        <v>881</v>
      </c>
    </row>
    <row r="523" spans="1:2" x14ac:dyDescent="0.25">
      <c r="A523" s="180" t="s">
        <v>882</v>
      </c>
      <c r="B523" t="s">
        <v>882</v>
      </c>
    </row>
    <row r="524" spans="1:2" x14ac:dyDescent="0.25">
      <c r="A524" s="180" t="s">
        <v>883</v>
      </c>
      <c r="B524" t="s">
        <v>883</v>
      </c>
    </row>
    <row r="525" spans="1:2" x14ac:dyDescent="0.25">
      <c r="A525" s="180" t="s">
        <v>884</v>
      </c>
      <c r="B525" t="s">
        <v>884</v>
      </c>
    </row>
    <row r="526" spans="1:2" x14ac:dyDescent="0.25">
      <c r="A526" s="370" t="s">
        <v>885</v>
      </c>
      <c r="B526" t="s">
        <v>885</v>
      </c>
    </row>
    <row r="527" spans="1:2" ht="23.25" x14ac:dyDescent="0.25">
      <c r="A527" s="367" t="s">
        <v>1312</v>
      </c>
      <c r="B527" t="s">
        <v>1312</v>
      </c>
    </row>
    <row r="528" spans="1:2" x14ac:dyDescent="0.25">
      <c r="A528" s="180" t="s">
        <v>886</v>
      </c>
      <c r="B528" t="s">
        <v>886</v>
      </c>
    </row>
    <row r="529" spans="1:2" x14ac:dyDescent="0.25">
      <c r="A529" s="180" t="s">
        <v>887</v>
      </c>
      <c r="B529" t="s">
        <v>887</v>
      </c>
    </row>
    <row r="530" spans="1:2" x14ac:dyDescent="0.25">
      <c r="A530" s="180" t="s">
        <v>888</v>
      </c>
      <c r="B530" t="s">
        <v>888</v>
      </c>
    </row>
    <row r="531" spans="1:2" x14ac:dyDescent="0.25">
      <c r="A531" s="180" t="s">
        <v>889</v>
      </c>
      <c r="B531" t="s">
        <v>889</v>
      </c>
    </row>
    <row r="532" spans="1:2" x14ac:dyDescent="0.25">
      <c r="A532" s="180" t="s">
        <v>890</v>
      </c>
      <c r="B532" t="s">
        <v>890</v>
      </c>
    </row>
    <row r="533" spans="1:2" x14ac:dyDescent="0.25">
      <c r="A533" s="180" t="s">
        <v>891</v>
      </c>
      <c r="B533" t="s">
        <v>891</v>
      </c>
    </row>
    <row r="534" spans="1:2" x14ac:dyDescent="0.25">
      <c r="A534" s="180" t="s">
        <v>892</v>
      </c>
      <c r="B534" t="s">
        <v>1352</v>
      </c>
    </row>
    <row r="535" spans="1:2" x14ac:dyDescent="0.25">
      <c r="A535" s="181" t="s">
        <v>893</v>
      </c>
      <c r="B535" t="s">
        <v>893</v>
      </c>
    </row>
    <row r="536" spans="1:2" x14ac:dyDescent="0.25">
      <c r="A536" s="180" t="s">
        <v>894</v>
      </c>
      <c r="B536" t="s">
        <v>894</v>
      </c>
    </row>
    <row r="537" spans="1:2" x14ac:dyDescent="0.25">
      <c r="A537" s="180" t="s">
        <v>895</v>
      </c>
      <c r="B537" t="s">
        <v>895</v>
      </c>
    </row>
    <row r="538" spans="1:2" x14ac:dyDescent="0.25">
      <c r="A538" s="370" t="s">
        <v>1116</v>
      </c>
      <c r="B538" t="s">
        <v>1116</v>
      </c>
    </row>
    <row r="539" spans="1:2" x14ac:dyDescent="0.25">
      <c r="A539" s="370" t="s">
        <v>898</v>
      </c>
      <c r="B539" t="s">
        <v>898</v>
      </c>
    </row>
    <row r="540" spans="1:2" x14ac:dyDescent="0.25">
      <c r="A540" s="180" t="s">
        <v>899</v>
      </c>
      <c r="B540" t="s">
        <v>899</v>
      </c>
    </row>
    <row r="541" spans="1:2" x14ac:dyDescent="0.25">
      <c r="A541" s="370" t="s">
        <v>902</v>
      </c>
      <c r="B541" t="s">
        <v>902</v>
      </c>
    </row>
    <row r="542" spans="1:2" x14ac:dyDescent="0.25">
      <c r="A542" s="370" t="s">
        <v>903</v>
      </c>
      <c r="B542" t="s">
        <v>903</v>
      </c>
    </row>
    <row r="543" spans="1:2" x14ac:dyDescent="0.25">
      <c r="A543" s="370" t="s">
        <v>1069</v>
      </c>
      <c r="B543" t="s">
        <v>1069</v>
      </c>
    </row>
    <row r="544" spans="1:2" x14ac:dyDescent="0.25">
      <c r="A544" s="180" t="s">
        <v>906</v>
      </c>
      <c r="B544" t="s">
        <v>906</v>
      </c>
    </row>
    <row r="545" spans="1:2" ht="23.25" x14ac:dyDescent="0.25">
      <c r="A545" s="332" t="s">
        <v>907</v>
      </c>
      <c r="B545" t="s">
        <v>907</v>
      </c>
    </row>
    <row r="546" spans="1:2" x14ac:dyDescent="0.25">
      <c r="A546" s="180" t="s">
        <v>908</v>
      </c>
      <c r="B546" t="s">
        <v>908</v>
      </c>
    </row>
    <row r="547" spans="1:2" x14ac:dyDescent="0.25">
      <c r="A547" s="180" t="s">
        <v>909</v>
      </c>
      <c r="B547" t="s">
        <v>1353</v>
      </c>
    </row>
    <row r="548" spans="1:2" x14ac:dyDescent="0.25">
      <c r="A548" s="180" t="s">
        <v>910</v>
      </c>
      <c r="B548" t="s">
        <v>910</v>
      </c>
    </row>
    <row r="549" spans="1:2" x14ac:dyDescent="0.25">
      <c r="A549" s="366" t="s">
        <v>913</v>
      </c>
      <c r="B549" t="s">
        <v>913</v>
      </c>
    </row>
    <row r="550" spans="1:2" x14ac:dyDescent="0.25">
      <c r="A550" s="366" t="s">
        <v>914</v>
      </c>
      <c r="B550" t="s">
        <v>914</v>
      </c>
    </row>
    <row r="551" spans="1:2" x14ac:dyDescent="0.25">
      <c r="A551" s="370" t="s">
        <v>1092</v>
      </c>
      <c r="B551" t="s">
        <v>1092</v>
      </c>
    </row>
    <row r="552" spans="1:2" x14ac:dyDescent="0.25">
      <c r="A552" s="366" t="s">
        <v>918</v>
      </c>
      <c r="B552" t="s">
        <v>918</v>
      </c>
    </row>
    <row r="553" spans="1:2" x14ac:dyDescent="0.25">
      <c r="A553" s="370" t="s">
        <v>919</v>
      </c>
      <c r="B553" t="s">
        <v>919</v>
      </c>
    </row>
    <row r="554" spans="1:2" x14ac:dyDescent="0.25">
      <c r="A554" s="180" t="s">
        <v>923</v>
      </c>
      <c r="B554" t="s">
        <v>923</v>
      </c>
    </row>
    <row r="555" spans="1:2" x14ac:dyDescent="0.25">
      <c r="A555" s="370" t="s">
        <v>1070</v>
      </c>
      <c r="B555" t="s">
        <v>1070</v>
      </c>
    </row>
    <row r="556" spans="1:2" x14ac:dyDescent="0.25">
      <c r="A556" s="180" t="s">
        <v>926</v>
      </c>
      <c r="B556" t="s">
        <v>926</v>
      </c>
    </row>
    <row r="557" spans="1:2" x14ac:dyDescent="0.25">
      <c r="A557" s="370" t="s">
        <v>1071</v>
      </c>
      <c r="B557" t="s">
        <v>1071</v>
      </c>
    </row>
    <row r="558" spans="1:2" x14ac:dyDescent="0.25">
      <c r="A558" s="180" t="s">
        <v>927</v>
      </c>
      <c r="B558" t="s">
        <v>927</v>
      </c>
    </row>
    <row r="559" spans="1:2" x14ac:dyDescent="0.25">
      <c r="A559" s="374" t="s">
        <v>1072</v>
      </c>
      <c r="B559" t="s">
        <v>1072</v>
      </c>
    </row>
    <row r="560" spans="1:2" x14ac:dyDescent="0.25">
      <c r="A560" s="370" t="s">
        <v>932</v>
      </c>
      <c r="B560" t="s">
        <v>932</v>
      </c>
    </row>
    <row r="561" spans="1:2" x14ac:dyDescent="0.25">
      <c r="A561" s="370" t="s">
        <v>935</v>
      </c>
      <c r="B561" t="s">
        <v>935</v>
      </c>
    </row>
    <row r="562" spans="1:2" x14ac:dyDescent="0.25">
      <c r="A562" s="370" t="s">
        <v>937</v>
      </c>
      <c r="B562" t="s">
        <v>937</v>
      </c>
    </row>
    <row r="563" spans="1:2" x14ac:dyDescent="0.25">
      <c r="A563" s="180" t="s">
        <v>938</v>
      </c>
      <c r="B563" t="s">
        <v>938</v>
      </c>
    </row>
    <row r="564" spans="1:2" x14ac:dyDescent="0.25">
      <c r="A564" s="370" t="s">
        <v>940</v>
      </c>
      <c r="B564" t="s">
        <v>940</v>
      </c>
    </row>
    <row r="565" spans="1:2" x14ac:dyDescent="0.25">
      <c r="A565" s="180" t="s">
        <v>941</v>
      </c>
      <c r="B565" t="s">
        <v>941</v>
      </c>
    </row>
    <row r="566" spans="1:2" x14ac:dyDescent="0.25">
      <c r="A566" s="370" t="s">
        <v>942</v>
      </c>
      <c r="B566" t="s">
        <v>942</v>
      </c>
    </row>
    <row r="567" spans="1:2" x14ac:dyDescent="0.25">
      <c r="A567" s="180" t="s">
        <v>944</v>
      </c>
      <c r="B567" t="s">
        <v>944</v>
      </c>
    </row>
    <row r="568" spans="1:2" x14ac:dyDescent="0.25">
      <c r="A568" s="368" t="s">
        <v>945</v>
      </c>
      <c r="B568" t="s">
        <v>945</v>
      </c>
    </row>
    <row r="569" spans="1:2" x14ac:dyDescent="0.25">
      <c r="A569" s="368" t="s">
        <v>947</v>
      </c>
      <c r="B569" t="s">
        <v>947</v>
      </c>
    </row>
    <row r="570" spans="1:2" x14ac:dyDescent="0.25">
      <c r="A570" s="373" t="s">
        <v>949</v>
      </c>
      <c r="B570" t="s">
        <v>949</v>
      </c>
    </row>
    <row r="571" spans="1:2" x14ac:dyDescent="0.25">
      <c r="A571" s="180" t="s">
        <v>950</v>
      </c>
      <c r="B571" t="s">
        <v>950</v>
      </c>
    </row>
    <row r="572" spans="1:2" x14ac:dyDescent="0.25">
      <c r="A572" s="180" t="s">
        <v>951</v>
      </c>
      <c r="B572" t="s">
        <v>951</v>
      </c>
    </row>
    <row r="573" spans="1:2" x14ac:dyDescent="0.25">
      <c r="A573" s="375" t="s">
        <v>952</v>
      </c>
      <c r="B573" t="s">
        <v>952</v>
      </c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2465D-992B-4F64-9F94-02515090D62D}">
  <dimension ref="A1:F27"/>
  <sheetViews>
    <sheetView workbookViewId="0">
      <selection activeCell="F12" sqref="F12:F27"/>
    </sheetView>
  </sheetViews>
  <sheetFormatPr defaultRowHeight="15" x14ac:dyDescent="0.25"/>
  <sheetData>
    <row r="1" spans="1:6" x14ac:dyDescent="0.25">
      <c r="A1" s="355" t="s">
        <v>46</v>
      </c>
      <c r="B1" s="356" t="s">
        <v>979</v>
      </c>
      <c r="C1" s="356" t="s">
        <v>1086</v>
      </c>
      <c r="D1" s="358" t="s">
        <v>48</v>
      </c>
      <c r="E1" s="19" t="s">
        <v>49</v>
      </c>
    </row>
    <row r="2" spans="1:6" ht="30" x14ac:dyDescent="0.25">
      <c r="A2" s="180" t="s">
        <v>99</v>
      </c>
      <c r="B2" s="158" t="s">
        <v>62</v>
      </c>
      <c r="C2" s="159" t="s">
        <v>1378</v>
      </c>
      <c r="D2" s="384" t="s">
        <v>100</v>
      </c>
      <c r="E2" s="385" t="s">
        <v>87</v>
      </c>
      <c r="F2" t="s">
        <v>980</v>
      </c>
    </row>
    <row r="3" spans="1:6" x14ac:dyDescent="0.25">
      <c r="A3" s="361" t="s">
        <v>112</v>
      </c>
      <c r="B3" s="158" t="s">
        <v>62</v>
      </c>
      <c r="C3" s="159" t="s">
        <v>1378</v>
      </c>
      <c r="D3" s="386" t="s">
        <v>113</v>
      </c>
      <c r="E3" s="385" t="s">
        <v>87</v>
      </c>
      <c r="F3" t="s">
        <v>980</v>
      </c>
    </row>
    <row r="4" spans="1:6" ht="30" x14ac:dyDescent="0.25">
      <c r="A4" s="180" t="s">
        <v>205</v>
      </c>
      <c r="B4" s="158" t="s">
        <v>62</v>
      </c>
      <c r="C4" s="159" t="s">
        <v>1378</v>
      </c>
      <c r="D4" s="384" t="s">
        <v>113</v>
      </c>
      <c r="E4" s="385" t="s">
        <v>87</v>
      </c>
      <c r="F4" t="s">
        <v>980</v>
      </c>
    </row>
    <row r="5" spans="1:6" ht="30" x14ac:dyDescent="0.25">
      <c r="A5" s="180" t="s">
        <v>309</v>
      </c>
      <c r="B5" s="158" t="s">
        <v>62</v>
      </c>
      <c r="C5" s="159" t="s">
        <v>1378</v>
      </c>
      <c r="D5" s="160" t="s">
        <v>113</v>
      </c>
      <c r="E5" s="385" t="s">
        <v>87</v>
      </c>
      <c r="F5" t="s">
        <v>980</v>
      </c>
    </row>
    <row r="6" spans="1:6" ht="30" x14ac:dyDescent="0.25">
      <c r="A6" s="180" t="s">
        <v>348</v>
      </c>
      <c r="B6" s="158" t="s">
        <v>62</v>
      </c>
      <c r="C6" s="159" t="s">
        <v>1378</v>
      </c>
      <c r="D6" s="160" t="s">
        <v>113</v>
      </c>
      <c r="E6" s="385" t="s">
        <v>87</v>
      </c>
      <c r="F6" t="s">
        <v>980</v>
      </c>
    </row>
    <row r="7" spans="1:6" ht="30" x14ac:dyDescent="0.25">
      <c r="A7" s="180" t="s">
        <v>562</v>
      </c>
      <c r="B7" s="158" t="s">
        <v>62</v>
      </c>
      <c r="C7" s="159" t="s">
        <v>1378</v>
      </c>
      <c r="D7" s="160" t="s">
        <v>113</v>
      </c>
      <c r="E7" s="385" t="s">
        <v>87</v>
      </c>
      <c r="F7" t="s">
        <v>980</v>
      </c>
    </row>
    <row r="8" spans="1:6" ht="30" x14ac:dyDescent="0.25">
      <c r="A8" s="180" t="s">
        <v>736</v>
      </c>
      <c r="B8" s="158" t="s">
        <v>62</v>
      </c>
      <c r="C8" s="159" t="s">
        <v>1378</v>
      </c>
      <c r="D8" s="160" t="s">
        <v>100</v>
      </c>
      <c r="E8" s="385" t="s">
        <v>87</v>
      </c>
      <c r="F8" t="s">
        <v>980</v>
      </c>
    </row>
    <row r="9" spans="1:6" ht="30" x14ac:dyDescent="0.25">
      <c r="A9" s="180" t="s">
        <v>831</v>
      </c>
      <c r="B9" s="158" t="s">
        <v>62</v>
      </c>
      <c r="C9" s="159" t="s">
        <v>1378</v>
      </c>
      <c r="D9" s="384" t="s">
        <v>113</v>
      </c>
      <c r="E9" s="385" t="s">
        <v>87</v>
      </c>
      <c r="F9" t="s">
        <v>980</v>
      </c>
    </row>
    <row r="10" spans="1:6" ht="30" x14ac:dyDescent="0.25">
      <c r="A10" s="180" t="s">
        <v>850</v>
      </c>
      <c r="B10" s="158" t="s">
        <v>62</v>
      </c>
      <c r="C10" s="159" t="s">
        <v>1378</v>
      </c>
      <c r="D10" s="160" t="s">
        <v>113</v>
      </c>
      <c r="E10" s="385" t="s">
        <v>87</v>
      </c>
      <c r="F10" t="s">
        <v>980</v>
      </c>
    </row>
    <row r="11" spans="1:6" ht="30" x14ac:dyDescent="0.25">
      <c r="A11" s="180" t="s">
        <v>882</v>
      </c>
      <c r="B11" s="158" t="s">
        <v>62</v>
      </c>
      <c r="C11" s="159" t="s">
        <v>1378</v>
      </c>
      <c r="D11" s="160" t="s">
        <v>113</v>
      </c>
      <c r="E11" s="385" t="s">
        <v>87</v>
      </c>
      <c r="F11" t="s">
        <v>980</v>
      </c>
    </row>
    <row r="12" spans="1:6" x14ac:dyDescent="0.25">
      <c r="A12" s="332" t="s">
        <v>112</v>
      </c>
      <c r="B12" s="158" t="s">
        <v>62</v>
      </c>
      <c r="C12" s="376" t="s">
        <v>1378</v>
      </c>
      <c r="D12" s="387" t="s">
        <v>113</v>
      </c>
      <c r="E12" s="386" t="s">
        <v>87</v>
      </c>
      <c r="F12" t="s">
        <v>1424</v>
      </c>
    </row>
    <row r="13" spans="1:6" ht="30" x14ac:dyDescent="0.25">
      <c r="A13" s="332" t="s">
        <v>205</v>
      </c>
      <c r="B13" s="158" t="s">
        <v>62</v>
      </c>
      <c r="C13" s="376" t="s">
        <v>1378</v>
      </c>
      <c r="D13" s="388" t="s">
        <v>113</v>
      </c>
      <c r="E13" s="386" t="s">
        <v>87</v>
      </c>
      <c r="F13" t="s">
        <v>1424</v>
      </c>
    </row>
    <row r="14" spans="1:6" ht="30" x14ac:dyDescent="0.25">
      <c r="A14" s="332" t="s">
        <v>249</v>
      </c>
      <c r="B14" s="158" t="s">
        <v>62</v>
      </c>
      <c r="C14" s="376" t="s">
        <v>1378</v>
      </c>
      <c r="D14" s="389" t="s">
        <v>113</v>
      </c>
      <c r="E14" s="386" t="s">
        <v>87</v>
      </c>
      <c r="F14" t="s">
        <v>1424</v>
      </c>
    </row>
    <row r="15" spans="1:6" ht="30" x14ac:dyDescent="0.25">
      <c r="A15" s="332" t="s">
        <v>264</v>
      </c>
      <c r="B15" s="158" t="s">
        <v>62</v>
      </c>
      <c r="C15" s="376" t="s">
        <v>1378</v>
      </c>
      <c r="D15" s="389" t="s">
        <v>113</v>
      </c>
      <c r="E15" s="386" t="s">
        <v>87</v>
      </c>
      <c r="F15" t="s">
        <v>1424</v>
      </c>
    </row>
    <row r="16" spans="1:6" ht="30" x14ac:dyDescent="0.25">
      <c r="A16" s="332" t="s">
        <v>309</v>
      </c>
      <c r="B16" s="158" t="s">
        <v>62</v>
      </c>
      <c r="C16" s="376" t="s">
        <v>1378</v>
      </c>
      <c r="D16" s="389" t="s">
        <v>113</v>
      </c>
      <c r="E16" s="386" t="s">
        <v>87</v>
      </c>
      <c r="F16" t="s">
        <v>1424</v>
      </c>
    </row>
    <row r="17" spans="1:6" ht="30" x14ac:dyDescent="0.25">
      <c r="A17" s="332" t="s">
        <v>348</v>
      </c>
      <c r="B17" s="158" t="s">
        <v>62</v>
      </c>
      <c r="C17" s="376" t="s">
        <v>1378</v>
      </c>
      <c r="D17" s="389" t="s">
        <v>113</v>
      </c>
      <c r="E17" s="386" t="s">
        <v>87</v>
      </c>
      <c r="F17" t="s">
        <v>1424</v>
      </c>
    </row>
    <row r="18" spans="1:6" ht="30" x14ac:dyDescent="0.25">
      <c r="A18" s="332" t="s">
        <v>395</v>
      </c>
      <c r="B18" s="158" t="s">
        <v>62</v>
      </c>
      <c r="C18" s="376" t="s">
        <v>1378</v>
      </c>
      <c r="D18" s="389" t="s">
        <v>113</v>
      </c>
      <c r="E18" s="386" t="s">
        <v>87</v>
      </c>
      <c r="F18" t="s">
        <v>1424</v>
      </c>
    </row>
    <row r="19" spans="1:6" ht="30" x14ac:dyDescent="0.25">
      <c r="A19" s="332" t="s">
        <v>562</v>
      </c>
      <c r="B19" s="158" t="s">
        <v>62</v>
      </c>
      <c r="C19" s="376" t="s">
        <v>1378</v>
      </c>
      <c r="D19" s="389" t="s">
        <v>113</v>
      </c>
      <c r="E19" s="386" t="s">
        <v>87</v>
      </c>
      <c r="F19" t="s">
        <v>1424</v>
      </c>
    </row>
    <row r="20" spans="1:6" ht="30" x14ac:dyDescent="0.25">
      <c r="A20" s="332" t="s">
        <v>831</v>
      </c>
      <c r="B20" s="158" t="s">
        <v>62</v>
      </c>
      <c r="C20" s="376" t="s">
        <v>1378</v>
      </c>
      <c r="D20" s="388" t="s">
        <v>113</v>
      </c>
      <c r="E20" s="386" t="s">
        <v>87</v>
      </c>
      <c r="F20" t="s">
        <v>1424</v>
      </c>
    </row>
    <row r="21" spans="1:6" ht="30" x14ac:dyDescent="0.25">
      <c r="A21" s="332" t="s">
        <v>837</v>
      </c>
      <c r="B21" s="158" t="s">
        <v>62</v>
      </c>
      <c r="C21" s="376" t="s">
        <v>1378</v>
      </c>
      <c r="D21" s="389" t="s">
        <v>113</v>
      </c>
      <c r="E21" s="386" t="s">
        <v>87</v>
      </c>
      <c r="F21" t="s">
        <v>1424</v>
      </c>
    </row>
    <row r="22" spans="1:6" ht="30" x14ac:dyDescent="0.25">
      <c r="A22" s="332" t="s">
        <v>843</v>
      </c>
      <c r="B22" s="158" t="s">
        <v>62</v>
      </c>
      <c r="C22" s="376" t="s">
        <v>1378</v>
      </c>
      <c r="D22" s="389" t="s">
        <v>113</v>
      </c>
      <c r="E22" s="386" t="s">
        <v>87</v>
      </c>
      <c r="F22" t="s">
        <v>1424</v>
      </c>
    </row>
    <row r="23" spans="1:6" ht="30" x14ac:dyDescent="0.25">
      <c r="A23" s="332" t="s">
        <v>850</v>
      </c>
      <c r="B23" s="158" t="s">
        <v>62</v>
      </c>
      <c r="C23" s="376" t="s">
        <v>1378</v>
      </c>
      <c r="D23" s="389" t="s">
        <v>113</v>
      </c>
      <c r="E23" s="386" t="s">
        <v>87</v>
      </c>
      <c r="F23" t="s">
        <v>1424</v>
      </c>
    </row>
    <row r="24" spans="1:6" ht="30" x14ac:dyDescent="0.25">
      <c r="A24" s="332" t="s">
        <v>867</v>
      </c>
      <c r="B24" s="158" t="s">
        <v>62</v>
      </c>
      <c r="C24" s="376" t="s">
        <v>1378</v>
      </c>
      <c r="D24" s="389" t="s">
        <v>113</v>
      </c>
      <c r="E24" s="386" t="s">
        <v>87</v>
      </c>
      <c r="F24" t="s">
        <v>1424</v>
      </c>
    </row>
    <row r="25" spans="1:6" ht="34.5" x14ac:dyDescent="0.25">
      <c r="A25" s="332" t="s">
        <v>882</v>
      </c>
      <c r="B25" s="158" t="s">
        <v>62</v>
      </c>
      <c r="C25" s="376" t="s">
        <v>1378</v>
      </c>
      <c r="D25" s="389" t="s">
        <v>113</v>
      </c>
      <c r="E25" s="386" t="s">
        <v>87</v>
      </c>
      <c r="F25" t="s">
        <v>1424</v>
      </c>
    </row>
    <row r="26" spans="1:6" ht="30" x14ac:dyDescent="0.25">
      <c r="A26" s="332" t="s">
        <v>99</v>
      </c>
      <c r="B26" s="158" t="s">
        <v>62</v>
      </c>
      <c r="C26" s="376" t="s">
        <v>1378</v>
      </c>
      <c r="D26" s="388" t="s">
        <v>100</v>
      </c>
      <c r="E26" s="386" t="s">
        <v>87</v>
      </c>
      <c r="F26" t="s">
        <v>1424</v>
      </c>
    </row>
    <row r="27" spans="1:6" ht="30" x14ac:dyDescent="0.25">
      <c r="A27" s="332" t="s">
        <v>736</v>
      </c>
      <c r="B27" s="158" t="s">
        <v>62</v>
      </c>
      <c r="C27" s="376" t="s">
        <v>1378</v>
      </c>
      <c r="D27" s="389" t="s">
        <v>100</v>
      </c>
      <c r="E27" s="386" t="s">
        <v>87</v>
      </c>
      <c r="F27" t="s">
        <v>1424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  <pageSetUpPr fitToPage="1"/>
  </sheetPr>
  <dimension ref="A1:AK154"/>
  <sheetViews>
    <sheetView zoomScale="120" zoomScaleNormal="120" workbookViewId="0">
      <selection activeCell="X2" sqref="X2"/>
    </sheetView>
  </sheetViews>
  <sheetFormatPr defaultRowHeight="15" x14ac:dyDescent="0.25"/>
  <cols>
    <col min="1" max="1" width="24" customWidth="1"/>
    <col min="2" max="2" width="7.85546875" customWidth="1"/>
    <col min="3" max="3" width="14.140625" customWidth="1"/>
    <col min="4" max="4" width="4.140625" customWidth="1"/>
    <col min="5" max="5" width="7.85546875" customWidth="1"/>
    <col min="6" max="6" width="6.140625" customWidth="1"/>
    <col min="7" max="7" width="2.140625" customWidth="1"/>
    <col min="8" max="8" width="10.85546875" style="49" customWidth="1"/>
    <col min="9" max="9" width="2.140625" customWidth="1"/>
    <col min="10" max="10" width="11" style="49" customWidth="1"/>
    <col min="11" max="11" width="2.85546875" customWidth="1"/>
    <col min="12" max="12" width="9.85546875" customWidth="1"/>
    <col min="13" max="13" width="2.140625" customWidth="1"/>
    <col min="14" max="14" width="9.140625" customWidth="1"/>
    <col min="15" max="15" width="2.140625" customWidth="1"/>
    <col min="16" max="16" width="9" style="49" customWidth="1"/>
    <col min="17" max="17" width="5.85546875" customWidth="1"/>
    <col min="18" max="18" width="9.85546875" customWidth="1"/>
    <col min="19" max="19" width="1.140625" customWidth="1"/>
    <col min="20" max="21" width="9.85546875" customWidth="1"/>
    <col min="22" max="35" width="9.140625" customWidth="1"/>
  </cols>
  <sheetData>
    <row r="1" spans="1:37" ht="26.25" customHeight="1" x14ac:dyDescent="0.25">
      <c r="A1" s="8"/>
      <c r="B1" s="9" t="s">
        <v>0</v>
      </c>
      <c r="C1" s="187">
        <v>43885</v>
      </c>
      <c r="D1" s="8"/>
      <c r="E1" s="9" t="s">
        <v>1</v>
      </c>
      <c r="F1" s="65">
        <v>1</v>
      </c>
      <c r="G1" s="8"/>
      <c r="H1" s="47"/>
      <c r="I1" s="10"/>
      <c r="J1" s="47"/>
      <c r="K1" s="10"/>
      <c r="L1" s="11"/>
      <c r="M1" s="10"/>
      <c r="N1" s="11"/>
      <c r="O1" s="8"/>
      <c r="P1" s="46" t="s">
        <v>2</v>
      </c>
      <c r="Q1" s="65">
        <v>0.9</v>
      </c>
      <c r="R1" s="12"/>
      <c r="S1" s="12"/>
      <c r="T1" s="8"/>
      <c r="U1" s="8"/>
      <c r="AC1" t="s">
        <v>3</v>
      </c>
    </row>
    <row r="2" spans="1:37" ht="60.75" x14ac:dyDescent="0.25">
      <c r="A2" s="13"/>
      <c r="B2" s="13"/>
      <c r="C2" s="13"/>
      <c r="D2" s="13"/>
      <c r="E2" s="13"/>
      <c r="F2" s="13"/>
      <c r="G2" s="13"/>
      <c r="H2" s="17" t="s">
        <v>4</v>
      </c>
      <c r="I2" s="13"/>
      <c r="J2" s="17" t="s">
        <v>5</v>
      </c>
      <c r="K2" s="13"/>
      <c r="L2" s="14" t="s">
        <v>6</v>
      </c>
      <c r="M2" s="13"/>
      <c r="N2" s="14" t="s">
        <v>2</v>
      </c>
      <c r="O2" s="13"/>
      <c r="P2" s="17" t="s">
        <v>7</v>
      </c>
      <c r="Q2" s="13"/>
      <c r="R2" s="13" t="s">
        <v>8</v>
      </c>
      <c r="S2" s="13"/>
      <c r="T2" s="13" t="s">
        <v>2</v>
      </c>
      <c r="U2" s="13"/>
      <c r="AH2" s="64">
        <v>42094</v>
      </c>
    </row>
    <row r="3" spans="1:37" x14ac:dyDescent="0.25">
      <c r="A3" s="13"/>
      <c r="B3" s="13"/>
      <c r="C3" s="13"/>
      <c r="D3" s="13"/>
      <c r="E3" s="13"/>
      <c r="F3" s="13"/>
      <c r="G3" s="13"/>
      <c r="H3" s="17"/>
      <c r="I3" s="13"/>
      <c r="J3" s="17"/>
      <c r="K3" s="13"/>
      <c r="L3" s="14"/>
      <c r="M3" s="13"/>
      <c r="N3" s="14"/>
      <c r="O3" s="13"/>
      <c r="P3" s="17"/>
      <c r="Q3" s="13"/>
      <c r="R3" s="13"/>
      <c r="S3" s="13"/>
      <c r="T3" s="13"/>
      <c r="U3" s="13"/>
      <c r="AH3" s="64"/>
    </row>
    <row r="4" spans="1:37" ht="15.75" x14ac:dyDescent="0.25">
      <c r="A4" s="502" t="s">
        <v>9</v>
      </c>
      <c r="B4" s="504" t="s">
        <v>10</v>
      </c>
      <c r="C4" s="504"/>
      <c r="D4" s="504"/>
      <c r="E4" s="504"/>
      <c r="F4" s="504"/>
      <c r="G4" s="15"/>
      <c r="H4" s="46" t="e">
        <f>COUNTIFS(Cleaning!#REF!,"ATB1",Cleaning!#REF!,"&lt;&gt;NV")</f>
        <v>#REF!</v>
      </c>
      <c r="I4" s="10"/>
      <c r="J4" s="46" t="e" cm="1">
        <f t="array" ref="J4">SUM(COUNTIFS(Cleaning!#REF!,"ATB1",Cleaning!#REF!,{"1","2","3","4"}))</f>
        <v>#REF!</v>
      </c>
      <c r="K4" s="10"/>
      <c r="L4" s="16" t="e">
        <f>J4/H4</f>
        <v>#REF!</v>
      </c>
      <c r="M4" s="10"/>
      <c r="N4" s="16">
        <f>$F$1</f>
        <v>1</v>
      </c>
      <c r="O4" s="8"/>
      <c r="P4" s="46" t="e">
        <f>COUNTIFS(Cleaning!#REF!,"ATB1",Cleaning!#REF!,3)+COUNTIFS(Cleaning!#REF!,"ATB1",Cleaning!#REF!,4)</f>
        <v>#REF!</v>
      </c>
      <c r="Q4" s="10"/>
      <c r="R4" s="16">
        <f t="shared" ref="R4:R7" si="0">IFERROR(P4/J4,0)</f>
        <v>0</v>
      </c>
      <c r="S4" s="10"/>
      <c r="T4" s="40">
        <f>$Q$1</f>
        <v>0.9</v>
      </c>
      <c r="U4" s="13"/>
      <c r="AF4" t="s">
        <v>1117</v>
      </c>
      <c r="AH4" s="64"/>
    </row>
    <row r="5" spans="1:37" ht="15.75" x14ac:dyDescent="0.25">
      <c r="A5" s="502"/>
      <c r="B5" s="504" t="s">
        <v>11</v>
      </c>
      <c r="C5" s="504"/>
      <c r="D5" s="504"/>
      <c r="E5" s="504"/>
      <c r="F5" s="504"/>
      <c r="G5" s="15"/>
      <c r="H5" s="46" t="e">
        <f>COUNTIFS(Cleaning!#REF!,"ATB1",Cleaning!#REF!,"&lt;&gt;NV")</f>
        <v>#REF!</v>
      </c>
      <c r="I5" s="10"/>
      <c r="J5" s="46" t="e" cm="1">
        <f t="array" ref="J5">SUM(COUNTIFS(Cleaning!#REF!,"ATB1",Cleaning!#REF!,{"1","2","3","4"}))</f>
        <v>#REF!</v>
      </c>
      <c r="K5" s="10"/>
      <c r="L5" s="16" t="e">
        <f>J5/H5</f>
        <v>#REF!</v>
      </c>
      <c r="M5" s="10"/>
      <c r="N5" s="16">
        <f>$F$1</f>
        <v>1</v>
      </c>
      <c r="O5" s="8"/>
      <c r="P5" s="46" t="e">
        <f>COUNTIFS(Cleaning!#REF!,"ATB1",Cleaning!#REF!,3)+COUNTIFS(Cleaning!#REF!,"ATB1",Cleaning!#REF!,4)</f>
        <v>#REF!</v>
      </c>
      <c r="Q5" s="10"/>
      <c r="R5" s="16">
        <f t="shared" si="0"/>
        <v>0</v>
      </c>
      <c r="S5" s="10"/>
      <c r="T5" s="40">
        <f t="shared" ref="T5:T67" si="1">$Q$1</f>
        <v>0.9</v>
      </c>
      <c r="U5" s="13"/>
      <c r="AF5">
        <v>12</v>
      </c>
      <c r="AG5" t="s">
        <v>1118</v>
      </c>
      <c r="AH5" s="64" t="s">
        <v>1119</v>
      </c>
      <c r="AI5" t="s">
        <v>1118</v>
      </c>
    </row>
    <row r="6" spans="1:37" ht="15.75" x14ac:dyDescent="0.25">
      <c r="A6" s="502"/>
      <c r="B6" s="504" t="s">
        <v>12</v>
      </c>
      <c r="C6" s="504"/>
      <c r="D6" s="504"/>
      <c r="E6" s="504"/>
      <c r="F6" s="504"/>
      <c r="G6" s="15"/>
      <c r="H6" s="46" t="e">
        <f>(COUNTIFS(#REF!,"ATB1",#REF!,"&lt;&gt;NV"))</f>
        <v>#REF!</v>
      </c>
      <c r="I6" s="10"/>
      <c r="J6" s="46" t="e" cm="1">
        <f t="array" ref="J6">SUM(COUNTIFS(#REF!,"ATB1",#REF!,{"1","2","3","4"}))</f>
        <v>#REF!</v>
      </c>
      <c r="K6" s="10"/>
      <c r="L6" s="16" t="e">
        <f>J6/H6</f>
        <v>#REF!</v>
      </c>
      <c r="M6" s="10"/>
      <c r="N6" s="16">
        <f>$F$1</f>
        <v>1</v>
      </c>
      <c r="O6" s="8"/>
      <c r="P6" s="46" t="e">
        <f>COUNTIFS(#REF!,"ATB1",#REF!,3)+COUNTIFS(#REF!,"ATB1",#REF!,4)</f>
        <v>#REF!</v>
      </c>
      <c r="Q6" s="10"/>
      <c r="R6" s="16">
        <f t="shared" si="0"/>
        <v>0</v>
      </c>
      <c r="S6" s="10"/>
      <c r="T6" s="40">
        <f t="shared" si="1"/>
        <v>0.9</v>
      </c>
      <c r="U6" s="13"/>
      <c r="AF6">
        <v>8</v>
      </c>
      <c r="AG6" t="s">
        <v>1120</v>
      </c>
      <c r="AH6" s="64" t="s">
        <v>1121</v>
      </c>
      <c r="AI6" t="s">
        <v>1120</v>
      </c>
    </row>
    <row r="7" spans="1:37" x14ac:dyDescent="0.25">
      <c r="A7" s="503"/>
      <c r="B7" s="504" t="s">
        <v>13</v>
      </c>
      <c r="C7" s="504"/>
      <c r="D7" s="504"/>
      <c r="E7" s="504"/>
      <c r="F7" s="504"/>
      <c r="G7" s="8"/>
      <c r="H7" s="46" t="e">
        <f>H4+H5+H6</f>
        <v>#REF!</v>
      </c>
      <c r="I7" s="10"/>
      <c r="J7" s="46" t="e">
        <f>SUM(J4:J6)</f>
        <v>#REF!</v>
      </c>
      <c r="K7" s="10"/>
      <c r="L7" s="16" t="e">
        <f>J7/H7</f>
        <v>#REF!</v>
      </c>
      <c r="M7" s="10"/>
      <c r="N7" s="16">
        <f>$F$1</f>
        <v>1</v>
      </c>
      <c r="O7" s="8"/>
      <c r="P7" s="46" t="e">
        <f>SUM(P4:P6)</f>
        <v>#REF!</v>
      </c>
      <c r="Q7" s="10"/>
      <c r="R7" s="16">
        <f t="shared" si="0"/>
        <v>0</v>
      </c>
      <c r="S7" s="10"/>
      <c r="T7" s="40">
        <f t="shared" si="1"/>
        <v>0.9</v>
      </c>
      <c r="U7" s="13"/>
      <c r="AF7">
        <v>4</v>
      </c>
      <c r="AG7" t="s">
        <v>1122</v>
      </c>
      <c r="AH7" s="64" t="s">
        <v>1123</v>
      </c>
      <c r="AI7" t="s">
        <v>1122</v>
      </c>
    </row>
    <row r="8" spans="1:37" x14ac:dyDescent="0.25">
      <c r="H8"/>
      <c r="J8"/>
      <c r="P8"/>
    </row>
    <row r="9" spans="1:37" ht="15.75" x14ac:dyDescent="0.25">
      <c r="A9" s="502" t="s">
        <v>14</v>
      </c>
      <c r="B9" s="504" t="s">
        <v>10</v>
      </c>
      <c r="C9" s="504"/>
      <c r="D9" s="504"/>
      <c r="E9" s="504"/>
      <c r="F9" s="504"/>
      <c r="G9" s="15"/>
      <c r="H9" s="46" t="e">
        <f>COUNTIFS(Cleaning!#REF!,"ATB2",Cleaning!#REF!,"&lt;&gt;NV")</f>
        <v>#REF!</v>
      </c>
      <c r="I9" s="10"/>
      <c r="J9" s="46" t="e" cm="1">
        <f t="array" ref="J9">SUM(COUNTIFS(Cleaning!#REF!,"ATB2",Cleaning!#REF!,{"1","2","3","4"}))</f>
        <v>#REF!</v>
      </c>
      <c r="K9" s="10"/>
      <c r="L9" s="16" t="e">
        <f>J9/H9</f>
        <v>#REF!</v>
      </c>
      <c r="M9" s="10"/>
      <c r="N9" s="16">
        <f>$F$1</f>
        <v>1</v>
      </c>
      <c r="O9" s="8"/>
      <c r="P9" s="46" t="e">
        <f>COUNTIFS(Cleaning!#REF!,"ATB2",Cleaning!#REF!,3)+COUNTIFS(Cleaning!#REF!,"ATB2",Cleaning!#REF!,4)</f>
        <v>#REF!</v>
      </c>
      <c r="Q9" s="10"/>
      <c r="R9" s="16">
        <f t="shared" ref="R9:R12" si="2">IFERROR(P9/J9,0)</f>
        <v>0</v>
      </c>
      <c r="S9" s="10"/>
      <c r="T9" s="40">
        <f t="shared" si="1"/>
        <v>0.9</v>
      </c>
      <c r="U9" s="8"/>
      <c r="AF9">
        <v>1</v>
      </c>
      <c r="AG9" t="str">
        <f t="shared" ref="AG9:AG16" si="3">AI9</f>
        <v>IntJan16</v>
      </c>
      <c r="AH9" t="s">
        <v>1124</v>
      </c>
      <c r="AI9" t="s">
        <v>1125</v>
      </c>
    </row>
    <row r="10" spans="1:37" ht="15.75" x14ac:dyDescent="0.25">
      <c r="A10" s="502"/>
      <c r="B10" s="504" t="s">
        <v>11</v>
      </c>
      <c r="C10" s="504"/>
      <c r="D10" s="504"/>
      <c r="E10" s="504"/>
      <c r="F10" s="504"/>
      <c r="G10" s="15"/>
      <c r="H10" s="46" t="e">
        <f>COUNTIFS(Cleaning!#REF!,"ATB2",Cleaning!#REF!,"&lt;&gt;NV")</f>
        <v>#REF!</v>
      </c>
      <c r="I10" s="10"/>
      <c r="J10" s="46" t="e" cm="1">
        <f t="array" ref="J10">SUM(COUNTIFS(Cleaning!#REF!,"ATB2",Cleaning!#REF!,{"1","2","3","4"}))</f>
        <v>#REF!</v>
      </c>
      <c r="K10" s="10"/>
      <c r="L10" s="16" t="e">
        <f>J10/H10</f>
        <v>#REF!</v>
      </c>
      <c r="M10" s="10"/>
      <c r="N10" s="16">
        <f>$F$1</f>
        <v>1</v>
      </c>
      <c r="O10" s="8"/>
      <c r="P10" s="46" t="e">
        <f>COUNTIFS(Cleaning!#REF!,"ATB2",Cleaning!#REF!,3)+COUNTIFS(Cleaning!#REF!,"ATB2",Cleaning!#REF!,4)</f>
        <v>#REF!</v>
      </c>
      <c r="Q10" s="10"/>
      <c r="R10" s="16">
        <f t="shared" si="2"/>
        <v>0</v>
      </c>
      <c r="S10" s="10"/>
      <c r="T10" s="40">
        <f t="shared" si="1"/>
        <v>0.9</v>
      </c>
      <c r="U10" s="8"/>
      <c r="AF10">
        <v>7</v>
      </c>
      <c r="AG10" t="str">
        <f t="shared" si="3"/>
        <v>IntJuly15</v>
      </c>
      <c r="AH10" t="s">
        <v>1126</v>
      </c>
      <c r="AI10" t="s">
        <v>1127</v>
      </c>
      <c r="AK10" t="s">
        <v>3</v>
      </c>
    </row>
    <row r="11" spans="1:37" ht="15.75" x14ac:dyDescent="0.25">
      <c r="A11" s="502"/>
      <c r="B11" s="504" t="s">
        <v>12</v>
      </c>
      <c r="C11" s="504"/>
      <c r="D11" s="504"/>
      <c r="E11" s="504"/>
      <c r="F11" s="504"/>
      <c r="G11" s="15"/>
      <c r="H11" s="46" t="e">
        <f>(COUNTIFS(#REF!,"ATB2",#REF!,"&lt;&gt;NV"))</f>
        <v>#REF!</v>
      </c>
      <c r="I11" s="10"/>
      <c r="J11" s="46" t="e" cm="1">
        <f t="array" ref="J11">SUM(COUNTIFS(#REF!,"ATB2",#REF!,{"1","2","3","4"}))</f>
        <v>#REF!</v>
      </c>
      <c r="K11" s="10"/>
      <c r="L11" s="16" t="e">
        <f>J11/H11</f>
        <v>#REF!</v>
      </c>
      <c r="M11" s="10"/>
      <c r="N11" s="16">
        <f>$F$1</f>
        <v>1</v>
      </c>
      <c r="O11" s="8"/>
      <c r="P11" s="46" t="e">
        <f>COUNTIFS(#REF!,"ATB2",#REF!,3)+COUNTIFS(#REF!,"ATB2",#REF!,4)</f>
        <v>#REF!</v>
      </c>
      <c r="Q11" s="10"/>
      <c r="R11" s="16">
        <f t="shared" si="2"/>
        <v>0</v>
      </c>
      <c r="S11" s="10"/>
      <c r="T11" s="40">
        <f t="shared" si="1"/>
        <v>0.9</v>
      </c>
      <c r="U11" s="8"/>
      <c r="AF11">
        <v>6</v>
      </c>
      <c r="AG11" t="str">
        <f t="shared" si="3"/>
        <v>IntJune15</v>
      </c>
      <c r="AH11" t="s">
        <v>1128</v>
      </c>
      <c r="AI11" t="s">
        <v>1129</v>
      </c>
    </row>
    <row r="12" spans="1:37" x14ac:dyDescent="0.25">
      <c r="A12" s="503"/>
      <c r="B12" s="504" t="s">
        <v>13</v>
      </c>
      <c r="C12" s="504"/>
      <c r="D12" s="504"/>
      <c r="E12" s="504"/>
      <c r="F12" s="504"/>
      <c r="G12" s="8"/>
      <c r="H12" s="46" t="e">
        <f>H9+H10+H11</f>
        <v>#REF!</v>
      </c>
      <c r="I12" s="10"/>
      <c r="J12" s="46" t="e">
        <f>SUM(J9:J11)</f>
        <v>#REF!</v>
      </c>
      <c r="K12" s="10"/>
      <c r="L12" s="16" t="e">
        <f>J12/H12</f>
        <v>#REF!</v>
      </c>
      <c r="M12" s="10"/>
      <c r="N12" s="16">
        <f>$F$1</f>
        <v>1</v>
      </c>
      <c r="O12" s="8"/>
      <c r="P12" s="46" t="e">
        <f>SUM(P9:P11)</f>
        <v>#REF!</v>
      </c>
      <c r="Q12" s="10"/>
      <c r="R12" s="16">
        <f t="shared" si="2"/>
        <v>0</v>
      </c>
      <c r="S12" s="10"/>
      <c r="T12" s="40">
        <f t="shared" si="1"/>
        <v>0.9</v>
      </c>
      <c r="U12" s="8"/>
      <c r="AF12">
        <v>3</v>
      </c>
      <c r="AG12" t="str">
        <f t="shared" si="3"/>
        <v>IntMar16</v>
      </c>
      <c r="AH12" t="s">
        <v>1130</v>
      </c>
      <c r="AI12" t="s">
        <v>1131</v>
      </c>
    </row>
    <row r="13" spans="1:37" x14ac:dyDescent="0.25">
      <c r="H13"/>
      <c r="J13"/>
      <c r="P13"/>
    </row>
    <row r="14" spans="1:37" ht="15.75" x14ac:dyDescent="0.25">
      <c r="A14" s="505" t="s">
        <v>15</v>
      </c>
      <c r="B14" s="504" t="s">
        <v>10</v>
      </c>
      <c r="C14" s="504"/>
      <c r="D14" s="504"/>
      <c r="E14" s="504"/>
      <c r="F14" s="504"/>
      <c r="G14" s="15"/>
      <c r="H14" s="46" t="e">
        <f>COUNTIFS(Cleaning!#REF!,"ATB3",Cleaning!#REF!,"&lt;&gt;NV")</f>
        <v>#REF!</v>
      </c>
      <c r="I14" s="10"/>
      <c r="J14" s="46" t="e" cm="1">
        <f t="array" ref="J14">SUM(COUNTIFS(Cleaning!#REF!,"ATB3",Cleaning!#REF!,{"1","2","3","4"}))</f>
        <v>#REF!</v>
      </c>
      <c r="K14" s="10"/>
      <c r="L14" s="16" t="e">
        <f>J14/H14</f>
        <v>#REF!</v>
      </c>
      <c r="M14" s="10"/>
      <c r="N14" s="16">
        <f>$F$1</f>
        <v>1</v>
      </c>
      <c r="O14" s="8"/>
      <c r="P14" s="46" t="e">
        <f>COUNTIFS(Cleaning!#REF!,"ATB3",Cleaning!#REF!,3)+COUNTIFS(Cleaning!#REF!,"ATB3",Cleaning!#REF!,4)</f>
        <v>#REF!</v>
      </c>
      <c r="Q14" s="10"/>
      <c r="R14" s="16">
        <f t="shared" ref="R14:R17" si="4">IFERROR(P14/J14,0)</f>
        <v>0</v>
      </c>
      <c r="S14" s="10"/>
      <c r="T14" s="40">
        <f t="shared" si="1"/>
        <v>0.9</v>
      </c>
      <c r="U14" s="8"/>
      <c r="AF14">
        <v>11</v>
      </c>
      <c r="AG14" t="str">
        <f t="shared" si="3"/>
        <v>IntNov15</v>
      </c>
      <c r="AH14" t="s">
        <v>1132</v>
      </c>
      <c r="AI14" t="s">
        <v>1133</v>
      </c>
    </row>
    <row r="15" spans="1:37" ht="15.75" x14ac:dyDescent="0.25">
      <c r="A15" s="505"/>
      <c r="B15" s="504" t="s">
        <v>11</v>
      </c>
      <c r="C15" s="504"/>
      <c r="D15" s="504"/>
      <c r="E15" s="504"/>
      <c r="F15" s="504"/>
      <c r="G15" s="15"/>
      <c r="H15" s="46" t="e">
        <f>COUNTIFS(Cleaning!#REF!,"ATB3",Cleaning!#REF!,"&lt;&gt;NV")</f>
        <v>#REF!</v>
      </c>
      <c r="I15" s="10"/>
      <c r="J15" s="46" t="e" cm="1">
        <f t="array" ref="J15">SUM(COUNTIFS(Cleaning!#REF!,"ATB3",Cleaning!#REF!,{"1","2","3","4"}))</f>
        <v>#REF!</v>
      </c>
      <c r="K15" s="10"/>
      <c r="L15" s="16" t="e">
        <f>J15/H15</f>
        <v>#REF!</v>
      </c>
      <c r="M15" s="10"/>
      <c r="N15" s="16">
        <f>$F$1</f>
        <v>1</v>
      </c>
      <c r="O15" s="8"/>
      <c r="P15" s="46" t="e">
        <f>COUNTIFS(Cleaning!#REF!,"ATB3",Cleaning!#REF!,3)+COUNTIFS(Cleaning!#REF!,"ATB3",Cleaning!#REF!,4)</f>
        <v>#REF!</v>
      </c>
      <c r="Q15" s="10"/>
      <c r="R15" s="16">
        <f t="shared" si="4"/>
        <v>0</v>
      </c>
      <c r="S15" s="10"/>
      <c r="T15" s="40">
        <f t="shared" si="1"/>
        <v>0.9</v>
      </c>
      <c r="U15" s="8"/>
      <c r="AF15">
        <v>10</v>
      </c>
      <c r="AG15" t="str">
        <f t="shared" si="3"/>
        <v>IntOct15</v>
      </c>
      <c r="AH15" t="s">
        <v>1134</v>
      </c>
      <c r="AI15" t="s">
        <v>1135</v>
      </c>
    </row>
    <row r="16" spans="1:37" ht="15.75" x14ac:dyDescent="0.25">
      <c r="A16" s="505"/>
      <c r="B16" s="504" t="s">
        <v>12</v>
      </c>
      <c r="C16" s="504"/>
      <c r="D16" s="504"/>
      <c r="E16" s="504"/>
      <c r="F16" s="504"/>
      <c r="G16" s="15"/>
      <c r="H16" s="46" t="e">
        <f>(COUNTIFS(#REF!,"ATB3",#REF!,"&lt;&gt;NV"))</f>
        <v>#REF!</v>
      </c>
      <c r="I16" s="10"/>
      <c r="J16" s="46" t="e" cm="1">
        <f t="array" ref="J16">SUM(COUNTIFS(#REF!,"ATB3",#REF!,{"1","2","3","4"}))</f>
        <v>#REF!</v>
      </c>
      <c r="K16" s="10"/>
      <c r="L16" s="16" t="e">
        <f>J16/H16</f>
        <v>#REF!</v>
      </c>
      <c r="M16" s="10"/>
      <c r="N16" s="16">
        <f>$F$1</f>
        <v>1</v>
      </c>
      <c r="O16" s="8"/>
      <c r="P16" s="46" t="e">
        <f>COUNTIFS(#REF!,"ATB3",#REF!,3)+COUNTIFS(#REF!,"ATB3",#REF!,4)</f>
        <v>#REF!</v>
      </c>
      <c r="Q16" s="10"/>
      <c r="R16" s="16">
        <f t="shared" si="4"/>
        <v>0</v>
      </c>
      <c r="S16" s="10"/>
      <c r="T16" s="40">
        <f t="shared" si="1"/>
        <v>0.9</v>
      </c>
      <c r="U16" s="8"/>
      <c r="AF16">
        <v>9</v>
      </c>
      <c r="AG16" t="str">
        <f t="shared" si="3"/>
        <v>IntSept15</v>
      </c>
      <c r="AH16" t="s">
        <v>1136</v>
      </c>
      <c r="AI16" t="s">
        <v>1137</v>
      </c>
    </row>
    <row r="17" spans="1:35" x14ac:dyDescent="0.25">
      <c r="A17" s="506"/>
      <c r="B17" s="504" t="s">
        <v>13</v>
      </c>
      <c r="C17" s="504"/>
      <c r="D17" s="504"/>
      <c r="E17" s="504"/>
      <c r="F17" s="504"/>
      <c r="G17" s="8"/>
      <c r="H17" s="46" t="e">
        <f>H14+H15+H16</f>
        <v>#REF!</v>
      </c>
      <c r="I17" s="10"/>
      <c r="J17" s="46" t="e">
        <f>SUM(J14:J16)</f>
        <v>#REF!</v>
      </c>
      <c r="K17" s="10"/>
      <c r="L17" s="16" t="e">
        <f>J17/H17</f>
        <v>#REF!</v>
      </c>
      <c r="M17" s="10"/>
      <c r="N17" s="16">
        <f>$F$1</f>
        <v>1</v>
      </c>
      <c r="O17" s="8"/>
      <c r="P17" s="46" t="e">
        <f>SUM(P14:P16)</f>
        <v>#REF!</v>
      </c>
      <c r="Q17" s="10"/>
      <c r="R17" s="16">
        <f t="shared" si="4"/>
        <v>0</v>
      </c>
      <c r="S17" s="10"/>
      <c r="T17" s="40">
        <f t="shared" si="1"/>
        <v>0.9</v>
      </c>
      <c r="U17" s="8"/>
    </row>
    <row r="18" spans="1:35" x14ac:dyDescent="0.25">
      <c r="H18"/>
      <c r="J18"/>
      <c r="P18"/>
    </row>
    <row r="19" spans="1:35" ht="15.75" x14ac:dyDescent="0.25">
      <c r="A19" s="502" t="s">
        <v>16</v>
      </c>
      <c r="B19" s="504" t="s">
        <v>10</v>
      </c>
      <c r="C19" s="504"/>
      <c r="D19" s="504"/>
      <c r="E19" s="504"/>
      <c r="F19" s="504"/>
      <c r="G19" s="15"/>
      <c r="H19" s="46" t="e">
        <f>COUNTIFS(Cleaning!#REF!,"ATB4",Cleaning!#REF!,"&lt;&gt;NV")</f>
        <v>#REF!</v>
      </c>
      <c r="I19" s="10"/>
      <c r="J19" s="46" t="e" cm="1">
        <f t="array" ref="J19">SUM(COUNTIFS(Cleaning!#REF!,"ATB4",Cleaning!#REF!,{"1","2","3","4"}))</f>
        <v>#REF!</v>
      </c>
      <c r="K19" s="10"/>
      <c r="L19" s="16" t="e">
        <f>J19/H19</f>
        <v>#REF!</v>
      </c>
      <c r="M19" s="10"/>
      <c r="N19" s="16">
        <f>$F$1</f>
        <v>1</v>
      </c>
      <c r="O19" s="8"/>
      <c r="P19" s="46" t="e">
        <f>COUNTIFS(Cleaning!#REF!,"ATB4",Cleaning!#REF!,3)+COUNTIFS(Cleaning!#REF!,"ATB4",Cleaning!#REF!,4)</f>
        <v>#REF!</v>
      </c>
      <c r="Q19" s="10"/>
      <c r="R19" s="16">
        <f t="shared" ref="R19:R22" si="5">IFERROR(P19/J19,0)</f>
        <v>0</v>
      </c>
      <c r="S19" s="10"/>
      <c r="T19" s="40">
        <f t="shared" si="1"/>
        <v>0.9</v>
      </c>
      <c r="U19" s="8"/>
      <c r="AE19" s="64" t="e">
        <f ca="1">IF(MONTH($C$1)&gt;MONTH(TODAY()),0,COUNTIFS(ATBCL,"ATB4")-COUNTIFS(ATBCL,"ATB4",INDIRECT(VLOOKUP(MONTH($C$1),$AF$19:$AG$30,2,0),1),"NV")-COUNTIFS(ATBCL,"ATB4",INDIRECT(VLOOKUP(MONTH($C$1),$AF$19:$AG$30,2,0),1),#N/A))</f>
        <v>#REF!</v>
      </c>
      <c r="AF19">
        <v>4</v>
      </c>
      <c r="AG19" t="str">
        <f>AI19</f>
        <v>ExtApr15</v>
      </c>
      <c r="AH19" t="s">
        <v>1138</v>
      </c>
      <c r="AI19" t="s">
        <v>1139</v>
      </c>
    </row>
    <row r="20" spans="1:35" ht="15.75" x14ac:dyDescent="0.25">
      <c r="A20" s="502"/>
      <c r="B20" s="504" t="s">
        <v>11</v>
      </c>
      <c r="C20" s="504"/>
      <c r="D20" s="504"/>
      <c r="E20" s="504"/>
      <c r="F20" s="504"/>
      <c r="G20" s="15"/>
      <c r="H20" s="46" t="e">
        <f>COUNTIFS(Cleaning!#REF!,"ATB4",Cleaning!#REF!,"&lt;&gt;NV")</f>
        <v>#REF!</v>
      </c>
      <c r="I20" s="10"/>
      <c r="J20" s="46" t="e" cm="1">
        <f t="array" ref="J20">SUM(COUNTIFS(Cleaning!#REF!,"ATB4",Cleaning!#REF!,{"1","2","3","4"}))</f>
        <v>#REF!</v>
      </c>
      <c r="K20" s="10"/>
      <c r="L20" s="16" t="e">
        <f>J20/H20</f>
        <v>#REF!</v>
      </c>
      <c r="M20" s="10"/>
      <c r="N20" s="16">
        <f>$F$1</f>
        <v>1</v>
      </c>
      <c r="O20" s="8"/>
      <c r="P20" s="46" t="e">
        <f>COUNTIFS(Cleaning!#REF!,"ATB4",Cleaning!#REF!,3)+COUNTIFS(Cleaning!#REF!,"ATB4",Cleaning!#REF!,4)</f>
        <v>#REF!</v>
      </c>
      <c r="Q20" s="10"/>
      <c r="R20" s="16">
        <f t="shared" si="5"/>
        <v>0</v>
      </c>
      <c r="S20" s="10"/>
      <c r="T20" s="40">
        <f t="shared" si="1"/>
        <v>0.9</v>
      </c>
      <c r="U20" s="8"/>
      <c r="AE20" s="64" t="e">
        <f ca="1">COUNTIFS(ATBCL,"ATB4",INDIRECT(VLOOKUP(MONTH($C$1),$AF$19:$AG$30,2,0),1),3)+COUNTIFS(ATBCL,"ATB4",INDIRECT(VLOOKUP(MONTH($C$1),$AF$19:$AG$30,2,0),1),4)</f>
        <v>#REF!</v>
      </c>
      <c r="AF20">
        <v>8</v>
      </c>
      <c r="AG20" t="str">
        <f t="shared" ref="AG20:AG39" si="6">AI20</f>
        <v>ExtAug15</v>
      </c>
      <c r="AH20" t="s">
        <v>1140</v>
      </c>
      <c r="AI20" t="s">
        <v>1141</v>
      </c>
    </row>
    <row r="21" spans="1:35" ht="15.75" x14ac:dyDescent="0.25">
      <c r="A21" s="502"/>
      <c r="B21" s="504" t="s">
        <v>12</v>
      </c>
      <c r="C21" s="504"/>
      <c r="D21" s="504"/>
      <c r="E21" s="504"/>
      <c r="F21" s="504"/>
      <c r="G21" s="15"/>
      <c r="H21" s="46" t="e">
        <f>(COUNTIFS(#REF!,"ATB4",#REF!,"&lt;&gt;NV"))</f>
        <v>#REF!</v>
      </c>
      <c r="I21" s="10"/>
      <c r="J21" s="46" t="e" cm="1">
        <f t="array" ref="J21">SUM(COUNTIFS(#REF!,"ATB4",#REF!,{"1","2","3","4"}))</f>
        <v>#REF!</v>
      </c>
      <c r="K21" s="10"/>
      <c r="L21" s="16" t="e">
        <f>J21/H21</f>
        <v>#REF!</v>
      </c>
      <c r="M21" s="10"/>
      <c r="N21" s="16">
        <f>$F$1</f>
        <v>1</v>
      </c>
      <c r="O21" s="8"/>
      <c r="P21" s="46" t="e">
        <f>COUNTIFS(#REF!,"ATB4",#REF!,3)+COUNTIFS(#REF!,"ATB4",#REF!,4)</f>
        <v>#REF!</v>
      </c>
      <c r="Q21" s="10"/>
      <c r="R21" s="16">
        <f t="shared" si="5"/>
        <v>0</v>
      </c>
      <c r="S21" s="10"/>
      <c r="T21" s="40">
        <f t="shared" si="1"/>
        <v>0.9</v>
      </c>
      <c r="U21" s="8"/>
      <c r="AF21">
        <v>12</v>
      </c>
      <c r="AG21" t="str">
        <f t="shared" si="6"/>
        <v>ExtDec15</v>
      </c>
      <c r="AH21" t="s">
        <v>1142</v>
      </c>
      <c r="AI21" t="s">
        <v>1143</v>
      </c>
    </row>
    <row r="22" spans="1:35" x14ac:dyDescent="0.25">
      <c r="A22" s="503"/>
      <c r="B22" s="504" t="s">
        <v>13</v>
      </c>
      <c r="C22" s="504"/>
      <c r="D22" s="504"/>
      <c r="E22" s="504"/>
      <c r="F22" s="504"/>
      <c r="G22" s="8"/>
      <c r="H22" s="46" t="e">
        <f>H19+H20+H21</f>
        <v>#REF!</v>
      </c>
      <c r="I22" s="10"/>
      <c r="J22" s="46" t="e">
        <f>SUM(J19:J21)</f>
        <v>#REF!</v>
      </c>
      <c r="K22" s="10"/>
      <c r="L22" s="16" t="e">
        <f>J22/H22</f>
        <v>#REF!</v>
      </c>
      <c r="M22" s="10"/>
      <c r="N22" s="16">
        <f>$F$1</f>
        <v>1</v>
      </c>
      <c r="O22" s="8"/>
      <c r="P22" s="46" t="e">
        <f>SUM(P19:P21)</f>
        <v>#REF!</v>
      </c>
      <c r="Q22" s="10"/>
      <c r="R22" s="16">
        <f t="shared" si="5"/>
        <v>0</v>
      </c>
      <c r="S22" s="10"/>
      <c r="T22" s="40">
        <f t="shared" si="1"/>
        <v>0.9</v>
      </c>
      <c r="U22" s="8"/>
      <c r="AF22">
        <v>2</v>
      </c>
      <c r="AG22" t="str">
        <f t="shared" si="6"/>
        <v>ExtFeb16</v>
      </c>
      <c r="AH22" t="s">
        <v>1144</v>
      </c>
      <c r="AI22" t="s">
        <v>1145</v>
      </c>
    </row>
    <row r="23" spans="1:35" x14ac:dyDescent="0.25">
      <c r="H23"/>
      <c r="J23"/>
      <c r="P23"/>
    </row>
    <row r="24" spans="1:35" ht="15.75" x14ac:dyDescent="0.25">
      <c r="A24" s="502" t="s">
        <v>17</v>
      </c>
      <c r="B24" s="504" t="s">
        <v>10</v>
      </c>
      <c r="C24" s="504"/>
      <c r="D24" s="504"/>
      <c r="E24" s="504"/>
      <c r="F24" s="504"/>
      <c r="G24" s="15"/>
      <c r="H24" s="46" t="e">
        <f>COUNTIFS(Cleaning!#REF!,"ATB5",Cleaning!#REF!,"&lt;&gt;NV")</f>
        <v>#REF!</v>
      </c>
      <c r="I24" s="10"/>
      <c r="J24" s="46" t="e" cm="1">
        <f t="array" ref="J24">SUM(COUNTIFS(Cleaning!#REF!,"ATB5",Cleaning!#REF!,{"1","2","3","4"}))</f>
        <v>#REF!</v>
      </c>
      <c r="K24" s="10"/>
      <c r="L24" s="16" t="e">
        <f>J24/H24</f>
        <v>#REF!</v>
      </c>
      <c r="M24" s="10"/>
      <c r="N24" s="16">
        <f>$F$1</f>
        <v>1</v>
      </c>
      <c r="O24" s="8"/>
      <c r="P24" s="46" t="e">
        <f>COUNTIFS(Cleaning!#REF!,"ATB5",Cleaning!#REF!,3)+COUNTIFS(Cleaning!#REF!,"ATB5",Cleaning!#REF!,4)</f>
        <v>#REF!</v>
      </c>
      <c r="Q24" s="10"/>
      <c r="R24" s="16">
        <f t="shared" ref="R24:R27" si="7">IFERROR(P24/J24,0)</f>
        <v>0</v>
      </c>
      <c r="S24" s="10"/>
      <c r="T24" s="40">
        <f t="shared" si="1"/>
        <v>0.9</v>
      </c>
      <c r="U24" s="8"/>
      <c r="AF24">
        <v>7</v>
      </c>
      <c r="AG24" t="str">
        <f t="shared" si="6"/>
        <v>ExtJuly15</v>
      </c>
      <c r="AH24" t="s">
        <v>1146</v>
      </c>
      <c r="AI24" t="s">
        <v>1147</v>
      </c>
    </row>
    <row r="25" spans="1:35" ht="15.75" x14ac:dyDescent="0.25">
      <c r="A25" s="502"/>
      <c r="B25" s="504" t="s">
        <v>11</v>
      </c>
      <c r="C25" s="504"/>
      <c r="D25" s="504"/>
      <c r="E25" s="504"/>
      <c r="F25" s="504"/>
      <c r="G25" s="15"/>
      <c r="H25" s="46" t="e">
        <f>COUNTIFS(Cleaning!#REF!,"ATB5",Cleaning!#REF!,"&lt;&gt;NV")</f>
        <v>#REF!</v>
      </c>
      <c r="I25" s="10"/>
      <c r="J25" s="46" t="e" cm="1">
        <f t="array" ref="J25">SUM(COUNTIFS(Cleaning!#REF!,"ATB5",Cleaning!#REF!,{"1","2","3","4"}))</f>
        <v>#REF!</v>
      </c>
      <c r="K25" s="10"/>
      <c r="L25" s="16" t="e">
        <f>J25/H25</f>
        <v>#REF!</v>
      </c>
      <c r="M25" s="10"/>
      <c r="N25" s="16">
        <f>$F$1</f>
        <v>1</v>
      </c>
      <c r="O25" s="8"/>
      <c r="P25" s="46" t="e">
        <f>COUNTIFS(Cleaning!#REF!,"ATB5",Cleaning!#REF!,3)+COUNTIFS(Cleaning!#REF!,"ATB5",Cleaning!#REF!,4)</f>
        <v>#REF!</v>
      </c>
      <c r="Q25" s="10"/>
      <c r="R25" s="16">
        <f t="shared" si="7"/>
        <v>0</v>
      </c>
      <c r="S25" s="10"/>
      <c r="T25" s="40">
        <f t="shared" si="1"/>
        <v>0.9</v>
      </c>
      <c r="U25" s="8"/>
      <c r="AF25">
        <v>6</v>
      </c>
      <c r="AG25" t="str">
        <f t="shared" si="6"/>
        <v>ExtJune15</v>
      </c>
      <c r="AH25" t="s">
        <v>1148</v>
      </c>
      <c r="AI25" t="s">
        <v>1149</v>
      </c>
    </row>
    <row r="26" spans="1:35" ht="15.75" x14ac:dyDescent="0.25">
      <c r="A26" s="502"/>
      <c r="B26" s="504" t="s">
        <v>12</v>
      </c>
      <c r="C26" s="504"/>
      <c r="D26" s="504"/>
      <c r="E26" s="504"/>
      <c r="F26" s="504"/>
      <c r="G26" s="15"/>
      <c r="H26" s="46" t="e">
        <f>(COUNTIFS(#REF!,"ATB5",#REF!,"&lt;&gt;NV"))</f>
        <v>#REF!</v>
      </c>
      <c r="I26" s="10"/>
      <c r="J26" s="46" t="e" cm="1">
        <f t="array" ref="J26">SUM(COUNTIFS(#REF!,"ATB5",#REF!,{"1","2","3","4"}))</f>
        <v>#REF!</v>
      </c>
      <c r="K26" s="10"/>
      <c r="L26" s="16" t="e">
        <f>J26/H26</f>
        <v>#REF!</v>
      </c>
      <c r="M26" s="10"/>
      <c r="N26" s="16">
        <f>$F$1</f>
        <v>1</v>
      </c>
      <c r="O26" s="8"/>
      <c r="P26" s="46" t="e">
        <f>COUNTIFS(#REF!,"ATB5",#REF!,3)+COUNTIFS(#REF!,"ATB5",#REF!,4)</f>
        <v>#REF!</v>
      </c>
      <c r="Q26" s="10"/>
      <c r="R26" s="16">
        <f t="shared" si="7"/>
        <v>0</v>
      </c>
      <c r="S26" s="10"/>
      <c r="T26" s="40">
        <f t="shared" si="1"/>
        <v>0.9</v>
      </c>
      <c r="U26" s="8"/>
      <c r="AF26">
        <v>3</v>
      </c>
      <c r="AG26" t="str">
        <f t="shared" si="6"/>
        <v>ExtMar16</v>
      </c>
      <c r="AH26" t="s">
        <v>1150</v>
      </c>
      <c r="AI26" t="s">
        <v>1151</v>
      </c>
    </row>
    <row r="27" spans="1:35" x14ac:dyDescent="0.25">
      <c r="A27" s="503"/>
      <c r="B27" s="504" t="s">
        <v>13</v>
      </c>
      <c r="C27" s="504"/>
      <c r="D27" s="504"/>
      <c r="E27" s="504"/>
      <c r="F27" s="504"/>
      <c r="G27" s="8"/>
      <c r="H27" s="46" t="e">
        <f>H24+H25+H26</f>
        <v>#REF!</v>
      </c>
      <c r="I27" s="10"/>
      <c r="J27" s="46" t="e">
        <f>SUM(J24:J26)</f>
        <v>#REF!</v>
      </c>
      <c r="K27" s="10"/>
      <c r="L27" s="16" t="e">
        <f>J27/H27</f>
        <v>#REF!</v>
      </c>
      <c r="M27" s="10"/>
      <c r="N27" s="16">
        <f>$F$1</f>
        <v>1</v>
      </c>
      <c r="O27" s="8"/>
      <c r="P27" s="46" t="e">
        <f>SUM(P24:P26)</f>
        <v>#REF!</v>
      </c>
      <c r="Q27" s="10"/>
      <c r="R27" s="16">
        <f t="shared" si="7"/>
        <v>0</v>
      </c>
      <c r="S27" s="10"/>
      <c r="T27" s="40">
        <f t="shared" si="1"/>
        <v>0.9</v>
      </c>
      <c r="U27" s="8"/>
      <c r="AF27">
        <v>5</v>
      </c>
      <c r="AG27" t="str">
        <f t="shared" si="6"/>
        <v>ExtMay15</v>
      </c>
      <c r="AH27" t="s">
        <v>1152</v>
      </c>
      <c r="AI27" t="s">
        <v>1153</v>
      </c>
    </row>
    <row r="28" spans="1:35" x14ac:dyDescent="0.25">
      <c r="H28"/>
      <c r="J28"/>
      <c r="P28"/>
    </row>
    <row r="29" spans="1:35" ht="15.75" x14ac:dyDescent="0.25">
      <c r="A29" s="502" t="s">
        <v>18</v>
      </c>
      <c r="B29" s="504" t="s">
        <v>10</v>
      </c>
      <c r="C29" s="504"/>
      <c r="D29" s="504"/>
      <c r="E29" s="504"/>
      <c r="F29" s="504"/>
      <c r="G29" s="15"/>
      <c r="H29" s="46" t="e">
        <f>COUNTIFS(Cleaning!#REF!,"ATB6",Cleaning!#REF!,"&lt;&gt;NV")</f>
        <v>#REF!</v>
      </c>
      <c r="I29" s="10"/>
      <c r="J29" s="46" t="e" cm="1">
        <f t="array" ref="J29">SUM(COUNTIFS(Cleaning!#REF!,"ATB6",Cleaning!#REF!,{"1","2","3","4"}))</f>
        <v>#REF!</v>
      </c>
      <c r="K29" s="10"/>
      <c r="L29" s="16" t="e">
        <f>J29/H29</f>
        <v>#REF!</v>
      </c>
      <c r="M29" s="10"/>
      <c r="N29" s="16">
        <f>$F$1</f>
        <v>1</v>
      </c>
      <c r="O29" s="8"/>
      <c r="P29" s="46" t="e">
        <f>COUNTIFS(Cleaning!#REF!,"ATB6",Cleaning!#REF!,3)+COUNTIFS(Cleaning!#REF!,"ATB6",Cleaning!#REF!,4)</f>
        <v>#REF!</v>
      </c>
      <c r="Q29" s="10"/>
      <c r="R29" s="16">
        <f t="shared" ref="R29:R32" si="8">IFERROR(P29/J29,0)</f>
        <v>0</v>
      </c>
      <c r="S29" s="10"/>
      <c r="T29" s="40">
        <f t="shared" si="1"/>
        <v>0.9</v>
      </c>
      <c r="U29" s="8"/>
      <c r="AF29">
        <v>10</v>
      </c>
      <c r="AG29" t="str">
        <f t="shared" si="6"/>
        <v>ExtOct15</v>
      </c>
      <c r="AH29" t="s">
        <v>1154</v>
      </c>
      <c r="AI29" t="s">
        <v>1155</v>
      </c>
    </row>
    <row r="30" spans="1:35" ht="15.75" x14ac:dyDescent="0.25">
      <c r="A30" s="502"/>
      <c r="B30" s="504" t="s">
        <v>11</v>
      </c>
      <c r="C30" s="504"/>
      <c r="D30" s="504"/>
      <c r="E30" s="504"/>
      <c r="F30" s="504"/>
      <c r="G30" s="15"/>
      <c r="H30" s="46" t="e">
        <f>COUNTIFS(Cleaning!#REF!,"ATB6",Cleaning!#REF!,"&lt;&gt;NV")</f>
        <v>#REF!</v>
      </c>
      <c r="I30" s="10"/>
      <c r="J30" s="46" t="e" cm="1">
        <f t="array" ref="J30">SUM(COUNTIFS(Cleaning!#REF!,"ATB6",Cleaning!#REF!,{"1","2","3","4"}))</f>
        <v>#REF!</v>
      </c>
      <c r="K30" s="10"/>
      <c r="L30" s="16" t="e">
        <f>J30/H30</f>
        <v>#REF!</v>
      </c>
      <c r="M30" s="10"/>
      <c r="N30" s="16">
        <f>$F$1</f>
        <v>1</v>
      </c>
      <c r="O30" s="8"/>
      <c r="P30" s="46" t="e">
        <f>COUNTIFS(Cleaning!#REF!,"ATB6",Cleaning!#REF!,3)+COUNTIFS(Cleaning!#REF!,"ATB6",Cleaning!#REF!,4)</f>
        <v>#REF!</v>
      </c>
      <c r="Q30" s="10"/>
      <c r="R30" s="16">
        <f t="shared" si="8"/>
        <v>0</v>
      </c>
      <c r="S30" s="10"/>
      <c r="T30" s="40">
        <f t="shared" si="1"/>
        <v>0.9</v>
      </c>
      <c r="U30" s="8"/>
      <c r="AF30">
        <v>9</v>
      </c>
      <c r="AG30" t="str">
        <f t="shared" si="6"/>
        <v>ExtSept15</v>
      </c>
      <c r="AH30" t="s">
        <v>1156</v>
      </c>
      <c r="AI30" t="s">
        <v>1157</v>
      </c>
    </row>
    <row r="31" spans="1:35" ht="15.75" x14ac:dyDescent="0.25">
      <c r="A31" s="502"/>
      <c r="B31" s="504" t="s">
        <v>12</v>
      </c>
      <c r="C31" s="504"/>
      <c r="D31" s="504"/>
      <c r="E31" s="504"/>
      <c r="F31" s="504"/>
      <c r="G31" s="15"/>
      <c r="H31" s="46" t="e">
        <f>(COUNTIFS(#REF!,"ATB6",#REF!,"&lt;&gt;NV"))</f>
        <v>#REF!</v>
      </c>
      <c r="I31" s="10"/>
      <c r="J31" s="46" t="e" cm="1">
        <f t="array" ref="J31">SUM(COUNTIFS(#REF!,"ATB6",#REF!,{"1","2","3","4"}))</f>
        <v>#REF!</v>
      </c>
      <c r="K31" s="10"/>
      <c r="L31" s="16" t="e">
        <f>J31/H31</f>
        <v>#REF!</v>
      </c>
      <c r="M31" s="10"/>
      <c r="N31" s="16">
        <f>$F$1</f>
        <v>1</v>
      </c>
      <c r="O31" s="8"/>
      <c r="P31" s="46" t="e">
        <f>COUNTIFS(#REF!,"ATB6",#REF!,3)+COUNTIFS(#REF!,"ATB6",#REF!,4)</f>
        <v>#REF!</v>
      </c>
      <c r="Q31" s="10"/>
      <c r="R31" s="16">
        <f t="shared" si="8"/>
        <v>0</v>
      </c>
      <c r="S31" s="10"/>
      <c r="T31" s="40">
        <f t="shared" si="1"/>
        <v>0.9</v>
      </c>
      <c r="U31" s="8"/>
    </row>
    <row r="32" spans="1:35" x14ac:dyDescent="0.25">
      <c r="A32" s="503"/>
      <c r="B32" s="504" t="s">
        <v>13</v>
      </c>
      <c r="C32" s="504"/>
      <c r="D32" s="504"/>
      <c r="E32" s="504"/>
      <c r="F32" s="504"/>
      <c r="G32" s="8"/>
      <c r="H32" s="46" t="e">
        <f>H29+H30+H31</f>
        <v>#REF!</v>
      </c>
      <c r="I32" s="10"/>
      <c r="J32" s="46" t="e">
        <f>SUM(J29:J31)</f>
        <v>#REF!</v>
      </c>
      <c r="K32" s="10"/>
      <c r="L32" s="16" t="e">
        <f>J32/H32</f>
        <v>#REF!</v>
      </c>
      <c r="M32" s="10"/>
      <c r="N32" s="16">
        <f>$F$1</f>
        <v>1</v>
      </c>
      <c r="O32" s="8"/>
      <c r="P32" s="46" t="e">
        <f>SUM(P29:P31)</f>
        <v>#REF!</v>
      </c>
      <c r="Q32" s="10"/>
      <c r="R32" s="16">
        <f t="shared" si="8"/>
        <v>0</v>
      </c>
      <c r="S32" s="10"/>
      <c r="T32" s="40">
        <f t="shared" si="1"/>
        <v>0.9</v>
      </c>
      <c r="U32" s="8"/>
      <c r="AF32" t="s">
        <v>1158</v>
      </c>
    </row>
    <row r="33" spans="1:35" x14ac:dyDescent="0.25">
      <c r="H33"/>
      <c r="J33"/>
      <c r="P33"/>
    </row>
    <row r="34" spans="1:35" ht="15.75" x14ac:dyDescent="0.25">
      <c r="A34" s="502" t="s">
        <v>19</v>
      </c>
      <c r="B34" s="504" t="s">
        <v>10</v>
      </c>
      <c r="C34" s="504"/>
      <c r="D34" s="504"/>
      <c r="E34" s="504"/>
      <c r="F34" s="504"/>
      <c r="G34" s="15"/>
      <c r="H34" s="46" t="e">
        <f>COUNTIFS(Cleaning!#REF!,"ATB7",Cleaning!#REF!,"&lt;&gt;NV")</f>
        <v>#REF!</v>
      </c>
      <c r="I34" s="10"/>
      <c r="J34" s="46" t="e" cm="1">
        <f t="array" ref="J34">SUM(COUNTIFS(Cleaning!#REF!,"ATB7",Cleaning!#REF!,{"1","2","3","4"}))</f>
        <v>#REF!</v>
      </c>
      <c r="K34" s="10"/>
      <c r="L34" s="16" t="e">
        <f>J34/H34</f>
        <v>#REF!</v>
      </c>
      <c r="M34" s="10"/>
      <c r="N34" s="16">
        <f>$F$1</f>
        <v>1</v>
      </c>
      <c r="O34" s="8"/>
      <c r="P34" s="46" t="e">
        <f>COUNTIFS(Cleaning!#REF!,"ATB7",Cleaning!#REF!,3)+COUNTIFS(Cleaning!#REF!,"ATB7",Cleaning!#REF!,4)</f>
        <v>#REF!</v>
      </c>
      <c r="Q34" s="10"/>
      <c r="R34" s="16">
        <f t="shared" ref="R34:R37" si="9">IFERROR(P34/J34,0)</f>
        <v>0</v>
      </c>
      <c r="S34" s="10"/>
      <c r="T34" s="40">
        <f t="shared" si="1"/>
        <v>0.9</v>
      </c>
      <c r="U34" s="8"/>
      <c r="AE34" s="64" t="e">
        <f ca="1">COUNTIFS(ATBLA,"ATB7",INDIRECT(VLOOKUP(MONTH($C$1),$AF$33:$AG$39,2,0),1),3)+COUNTIFS(ATBLA,"ATB7",INDIRECT(VLOOKUP(MONTH($C$1),$AF$33:$AG$39,2,0),1),4)</f>
        <v>#REF!</v>
      </c>
      <c r="AF34">
        <v>7</v>
      </c>
      <c r="AG34" t="str">
        <f t="shared" si="6"/>
        <v>Jul15_LA</v>
      </c>
      <c r="AH34" t="s">
        <v>1159</v>
      </c>
      <c r="AI34" t="s">
        <v>1160</v>
      </c>
    </row>
    <row r="35" spans="1:35" ht="15.75" x14ac:dyDescent="0.25">
      <c r="A35" s="502"/>
      <c r="B35" s="504" t="s">
        <v>11</v>
      </c>
      <c r="C35" s="504"/>
      <c r="D35" s="504"/>
      <c r="E35" s="504"/>
      <c r="F35" s="504"/>
      <c r="G35" s="15"/>
      <c r="H35" s="46" t="e">
        <f>COUNTIFS(Cleaning!#REF!,"ATB7",Cleaning!#REF!,"&lt;&gt;NV")</f>
        <v>#REF!</v>
      </c>
      <c r="I35" s="10"/>
      <c r="J35" s="46" t="e" cm="1">
        <f t="array" ref="J35">SUM(COUNTIFS(Cleaning!#REF!,"ATB7",Cleaning!#REF!,{"1","2","3","4"}))</f>
        <v>#REF!</v>
      </c>
      <c r="K35" s="10"/>
      <c r="L35" s="16" t="e">
        <f>J35/H35</f>
        <v>#REF!</v>
      </c>
      <c r="M35" s="10"/>
      <c r="N35" s="16">
        <f t="shared" ref="N35:N42" si="10">$F$1</f>
        <v>1</v>
      </c>
      <c r="O35" s="8"/>
      <c r="P35" s="46" t="e">
        <f>COUNTIFS(Cleaning!#REF!,"ATB7",Cleaning!#REF!,3)+COUNTIFS(Cleaning!#REF!,"ATB7",Cleaning!#REF!,4)</f>
        <v>#REF!</v>
      </c>
      <c r="Q35" s="10"/>
      <c r="R35" s="16">
        <f t="shared" si="9"/>
        <v>0</v>
      </c>
      <c r="S35" s="10"/>
      <c r="T35" s="40">
        <f t="shared" si="1"/>
        <v>0.9</v>
      </c>
      <c r="U35" s="8"/>
      <c r="AF35">
        <v>6</v>
      </c>
      <c r="AG35" t="str">
        <f t="shared" si="6"/>
        <v>Jun15_LA</v>
      </c>
      <c r="AH35" t="s">
        <v>1161</v>
      </c>
      <c r="AI35" t="s">
        <v>1162</v>
      </c>
    </row>
    <row r="36" spans="1:35" ht="15.75" x14ac:dyDescent="0.25">
      <c r="A36" s="502"/>
      <c r="B36" s="504" t="s">
        <v>12</v>
      </c>
      <c r="C36" s="504"/>
      <c r="D36" s="504"/>
      <c r="E36" s="504"/>
      <c r="F36" s="504"/>
      <c r="G36" s="15"/>
      <c r="H36" s="46" t="e">
        <f>(COUNTIFS(#REF!,"ATB7",#REF!,"&lt;&gt;NV"))</f>
        <v>#REF!</v>
      </c>
      <c r="I36" s="10"/>
      <c r="J36" s="46" t="e" cm="1">
        <f t="array" ref="J36">SUM(COUNTIFS(#REF!,"ATB7",#REF!,{"1","2","3","4"}))</f>
        <v>#REF!</v>
      </c>
      <c r="K36" s="10"/>
      <c r="L36" s="16" t="e">
        <f>J36/H36</f>
        <v>#REF!</v>
      </c>
      <c r="M36" s="10"/>
      <c r="N36" s="16">
        <f t="shared" si="10"/>
        <v>1</v>
      </c>
      <c r="O36" s="8"/>
      <c r="P36" s="46" t="e">
        <f>COUNTIFS(#REF!,"ATB7",#REF!,3)+COUNTIFS(#REF!,"ATB7",#REF!,4)</f>
        <v>#REF!</v>
      </c>
      <c r="Q36" s="10"/>
      <c r="R36" s="16">
        <f t="shared" si="9"/>
        <v>0</v>
      </c>
      <c r="S36" s="10"/>
      <c r="T36" s="40">
        <f t="shared" si="1"/>
        <v>0.9</v>
      </c>
      <c r="U36" s="8"/>
      <c r="AF36">
        <v>3</v>
      </c>
      <c r="AG36" t="str">
        <f t="shared" si="6"/>
        <v>Mar16_LA</v>
      </c>
      <c r="AH36" t="s">
        <v>1163</v>
      </c>
      <c r="AI36" t="s">
        <v>1164</v>
      </c>
    </row>
    <row r="37" spans="1:35" x14ac:dyDescent="0.25">
      <c r="A37" s="503"/>
      <c r="B37" s="504" t="s">
        <v>13</v>
      </c>
      <c r="C37" s="504"/>
      <c r="D37" s="504"/>
      <c r="E37" s="504"/>
      <c r="F37" s="504"/>
      <c r="G37" s="8"/>
      <c r="H37" s="46" t="e">
        <f>H34+H35+H36</f>
        <v>#REF!</v>
      </c>
      <c r="I37" s="10"/>
      <c r="J37" s="46" t="e">
        <f>J34+J35+J36</f>
        <v>#REF!</v>
      </c>
      <c r="K37" s="10"/>
      <c r="L37" s="16" t="e">
        <f>J37/H37</f>
        <v>#REF!</v>
      </c>
      <c r="M37" s="10"/>
      <c r="N37" s="16">
        <f t="shared" si="10"/>
        <v>1</v>
      </c>
      <c r="O37" s="8"/>
      <c r="P37" s="46" t="e">
        <f>SUM(P34:P36)</f>
        <v>#REF!</v>
      </c>
      <c r="Q37" s="10"/>
      <c r="R37" s="16">
        <f t="shared" si="9"/>
        <v>0</v>
      </c>
      <c r="S37" s="10"/>
      <c r="T37" s="40">
        <f t="shared" si="1"/>
        <v>0.9</v>
      </c>
      <c r="U37" s="8"/>
      <c r="AF37">
        <v>5</v>
      </c>
      <c r="AG37" t="str">
        <f t="shared" si="6"/>
        <v>May15_LA</v>
      </c>
      <c r="AH37" t="s">
        <v>1165</v>
      </c>
      <c r="AI37" t="s">
        <v>1166</v>
      </c>
    </row>
    <row r="38" spans="1:35" x14ac:dyDescent="0.25">
      <c r="H38"/>
      <c r="J38"/>
      <c r="P38"/>
    </row>
    <row r="39" spans="1:35" ht="15.75" x14ac:dyDescent="0.25">
      <c r="A39" s="502" t="s">
        <v>20</v>
      </c>
      <c r="B39" s="507" t="s">
        <v>10</v>
      </c>
      <c r="C39" s="508"/>
      <c r="D39" s="508"/>
      <c r="E39" s="508"/>
      <c r="F39" s="509"/>
      <c r="G39" s="15"/>
      <c r="H39" s="46" t="e">
        <f>COUNTIFS(Cleaning!#REF!,"ATB9",Cleaning!#REF!,"&lt;&gt;NV")</f>
        <v>#REF!</v>
      </c>
      <c r="I39" s="10"/>
      <c r="J39" s="46" t="e" cm="1">
        <f t="array" ref="J39">SUM(COUNTIFS(Cleaning!#REF!,"ATB9",Cleaning!#REF!,{"1","2","3","4"}))</f>
        <v>#REF!</v>
      </c>
      <c r="K39" s="10"/>
      <c r="L39" s="16" t="e">
        <f>J39/H39</f>
        <v>#REF!</v>
      </c>
      <c r="M39" s="10"/>
      <c r="N39" s="16">
        <f t="shared" si="10"/>
        <v>1</v>
      </c>
      <c r="O39" s="8"/>
      <c r="P39" s="46" t="e">
        <f>COUNTIFS(Cleaning!#REF!,"ATB9",Cleaning!#REF!,3)+COUNTIFS(Cleaning!#REF!,"ATB9",Cleaning!#REF!,4)</f>
        <v>#REF!</v>
      </c>
      <c r="Q39" s="10"/>
      <c r="R39" s="16">
        <f t="shared" ref="R39:R42" si="11">IFERROR(P39/J39,0)</f>
        <v>0</v>
      </c>
      <c r="S39" s="10"/>
      <c r="T39" s="40">
        <f t="shared" si="1"/>
        <v>0.9</v>
      </c>
      <c r="U39" s="8"/>
      <c r="AF39">
        <v>12</v>
      </c>
      <c r="AG39" t="str">
        <f t="shared" si="6"/>
        <v>Dec15_LA</v>
      </c>
      <c r="AH39" t="s">
        <v>1167</v>
      </c>
      <c r="AI39" t="s">
        <v>1168</v>
      </c>
    </row>
    <row r="40" spans="1:35" ht="15.75" x14ac:dyDescent="0.25">
      <c r="A40" s="502"/>
      <c r="B40" s="507" t="s">
        <v>11</v>
      </c>
      <c r="C40" s="508"/>
      <c r="D40" s="508"/>
      <c r="E40" s="508"/>
      <c r="F40" s="509"/>
      <c r="G40" s="15"/>
      <c r="H40" s="46" t="e">
        <f>COUNTIFS(Cleaning!#REF!,"ATB9",Cleaning!#REF!,"&lt;&gt;NV")</f>
        <v>#REF!</v>
      </c>
      <c r="I40" s="10"/>
      <c r="J40" s="46" t="e" cm="1">
        <f t="array" ref="J40">SUM(COUNTIFS(Cleaning!#REF!,"ATB9",Cleaning!#REF!,{"1","2","3","4"}))</f>
        <v>#REF!</v>
      </c>
      <c r="K40" s="10"/>
      <c r="L40" s="16" t="e">
        <f>J40/H40</f>
        <v>#REF!</v>
      </c>
      <c r="M40" s="10"/>
      <c r="N40" s="16">
        <f t="shared" si="10"/>
        <v>1</v>
      </c>
      <c r="O40" s="8"/>
      <c r="P40" s="46" t="e">
        <f>COUNTIFS(Cleaning!#REF!,"ATB9",Cleaning!#REF!,3)+COUNTIFS(Cleaning!#REF!,"ATB9",Cleaning!#REF!,4)</f>
        <v>#REF!</v>
      </c>
      <c r="Q40" s="10"/>
      <c r="R40" s="16">
        <f t="shared" si="11"/>
        <v>0</v>
      </c>
      <c r="S40" s="10"/>
      <c r="T40" s="40">
        <f t="shared" si="1"/>
        <v>0.9</v>
      </c>
      <c r="U40" s="8"/>
      <c r="AF40">
        <v>2</v>
      </c>
      <c r="AG40" t="s">
        <v>1169</v>
      </c>
      <c r="AH40" t="s">
        <v>1170</v>
      </c>
      <c r="AI40" t="s">
        <v>1169</v>
      </c>
    </row>
    <row r="41" spans="1:35" ht="15.75" x14ac:dyDescent="0.25">
      <c r="A41" s="502"/>
      <c r="B41" s="507" t="s">
        <v>12</v>
      </c>
      <c r="C41" s="508"/>
      <c r="D41" s="508"/>
      <c r="E41" s="508"/>
      <c r="F41" s="509"/>
      <c r="G41" s="15"/>
      <c r="H41" s="46" t="e">
        <f>(COUNTIFS(#REF!,"ATB9",#REF!,"&lt;&gt;NV"))</f>
        <v>#REF!</v>
      </c>
      <c r="I41" s="10"/>
      <c r="J41" s="46" t="e" cm="1">
        <f t="array" ref="J41">SUM(COUNTIFS(#REF!,"ATB9",#REF!,{"1","2","3","4"}))</f>
        <v>#REF!</v>
      </c>
      <c r="K41" s="10"/>
      <c r="L41" s="16" t="e">
        <f>J41/H41</f>
        <v>#REF!</v>
      </c>
      <c r="M41" s="10"/>
      <c r="N41" s="16">
        <f t="shared" si="10"/>
        <v>1</v>
      </c>
      <c r="O41" s="8"/>
      <c r="P41" s="46" t="e">
        <f>COUNTIFS(#REF!,"ATB9",#REF!,3)+COUNTIFS(#REF!,"ATB9",#REF!,4)</f>
        <v>#REF!</v>
      </c>
      <c r="Q41" s="10"/>
      <c r="R41" s="16">
        <f t="shared" si="11"/>
        <v>0</v>
      </c>
      <c r="S41" s="10"/>
      <c r="T41" s="40">
        <f t="shared" si="1"/>
        <v>0.9</v>
      </c>
      <c r="U41" s="8"/>
      <c r="AF41">
        <v>4</v>
      </c>
      <c r="AG41" t="s">
        <v>1171</v>
      </c>
      <c r="AH41" t="s">
        <v>1172</v>
      </c>
      <c r="AI41" t="s">
        <v>1171</v>
      </c>
    </row>
    <row r="42" spans="1:35" x14ac:dyDescent="0.25">
      <c r="A42" s="502"/>
      <c r="B42" s="507" t="s">
        <v>13</v>
      </c>
      <c r="C42" s="508"/>
      <c r="D42" s="508"/>
      <c r="E42" s="508"/>
      <c r="F42" s="509"/>
      <c r="G42" s="8"/>
      <c r="H42" s="46" t="e">
        <f>H39+H40+H41</f>
        <v>#REF!</v>
      </c>
      <c r="I42" s="10"/>
      <c r="J42" s="46" t="e">
        <f>J39+J40+J41</f>
        <v>#REF!</v>
      </c>
      <c r="K42" s="10"/>
      <c r="L42" s="16" t="e">
        <f>J42/H42</f>
        <v>#REF!</v>
      </c>
      <c r="M42" s="10"/>
      <c r="N42" s="16">
        <f t="shared" si="10"/>
        <v>1</v>
      </c>
      <c r="O42" s="8"/>
      <c r="P42" s="46" t="e">
        <f>SUM(P39:P41)</f>
        <v>#REF!</v>
      </c>
      <c r="Q42" s="10"/>
      <c r="R42" s="16">
        <f t="shared" si="11"/>
        <v>0</v>
      </c>
      <c r="S42" s="10"/>
      <c r="T42" s="40">
        <f t="shared" si="1"/>
        <v>0.9</v>
      </c>
      <c r="U42" s="8"/>
      <c r="AF42">
        <v>8</v>
      </c>
      <c r="AG42" t="s">
        <v>1173</v>
      </c>
      <c r="AH42" t="s">
        <v>1174</v>
      </c>
      <c r="AI42" t="s">
        <v>1173</v>
      </c>
    </row>
    <row r="43" spans="1:35" x14ac:dyDescent="0.25">
      <c r="H43"/>
      <c r="J43"/>
      <c r="P43"/>
    </row>
    <row r="44" spans="1:35" ht="15.75" x14ac:dyDescent="0.25">
      <c r="A44" s="505" t="s">
        <v>21</v>
      </c>
      <c r="B44" s="504" t="s">
        <v>10</v>
      </c>
      <c r="C44" s="504"/>
      <c r="D44" s="504"/>
      <c r="E44" s="504"/>
      <c r="F44" s="504"/>
      <c r="G44" s="15"/>
      <c r="H44" s="46" t="e">
        <f>COUNTIFS(Cleaning!#REF!,"ATB10",Cleaning!#REF!,"&lt;&gt;NV")</f>
        <v>#REF!</v>
      </c>
      <c r="I44" s="10"/>
      <c r="J44" s="46" t="e" cm="1">
        <f t="array" ref="J44">SUM(COUNTIFS(Cleaning!#REF!,"ATB10",Cleaning!#REF!,{"1","2","3","4"}))</f>
        <v>#REF!</v>
      </c>
      <c r="K44" s="10"/>
      <c r="L44" s="16" t="e">
        <f>J44/H44</f>
        <v>#REF!</v>
      </c>
      <c r="M44" s="10"/>
      <c r="N44" s="16">
        <f>$F$1</f>
        <v>1</v>
      </c>
      <c r="O44" s="8"/>
      <c r="P44" s="46" t="e">
        <f>COUNTIFS(Cleaning!#REF!,"ATB10",Cleaning!#REF!,3)+COUNTIFS(Cleaning!#REF!,"ATB10",Cleaning!#REF!,4)</f>
        <v>#REF!</v>
      </c>
      <c r="Q44" s="10"/>
      <c r="R44" s="16">
        <f t="shared" ref="R44:R47" si="12">IFERROR(P44/J44,0)</f>
        <v>0</v>
      </c>
      <c r="S44" s="10"/>
      <c r="T44" s="40">
        <f t="shared" si="1"/>
        <v>0.9</v>
      </c>
      <c r="U44" s="8"/>
      <c r="AF44">
        <v>10</v>
      </c>
      <c r="AG44" t="s">
        <v>1175</v>
      </c>
      <c r="AH44" t="s">
        <v>1176</v>
      </c>
      <c r="AI44" t="s">
        <v>1175</v>
      </c>
    </row>
    <row r="45" spans="1:35" ht="15.75" x14ac:dyDescent="0.25">
      <c r="A45" s="505"/>
      <c r="B45" s="504" t="s">
        <v>11</v>
      </c>
      <c r="C45" s="504"/>
      <c r="D45" s="504"/>
      <c r="E45" s="504"/>
      <c r="F45" s="504"/>
      <c r="G45" s="15"/>
      <c r="H45" s="46" t="e">
        <f>COUNTIFS(Cleaning!#REF!,"ATB10",Cleaning!#REF!,"&lt;&gt;NV")</f>
        <v>#REF!</v>
      </c>
      <c r="I45" s="10"/>
      <c r="J45" s="46" t="e" cm="1">
        <f t="array" ref="J45">SUM(COUNTIFS(Cleaning!#REF!,"ATB10",Cleaning!#REF!,{"1","2","3","4"}))</f>
        <v>#REF!</v>
      </c>
      <c r="K45" s="10"/>
      <c r="L45" s="16" t="e">
        <f>J45/H45</f>
        <v>#REF!</v>
      </c>
      <c r="M45" s="10"/>
      <c r="N45" s="16">
        <f>$F$1</f>
        <v>1</v>
      </c>
      <c r="O45" s="8"/>
      <c r="P45" s="46" t="e">
        <f>COUNTIFS(Cleaning!#REF!,"ATB10",Cleaning!#REF!,3)+COUNTIFS(Cleaning!#REF!,"ATB10",Cleaning!#REF!,4)</f>
        <v>#REF!</v>
      </c>
      <c r="Q45" s="10"/>
      <c r="R45" s="16">
        <f t="shared" si="12"/>
        <v>0</v>
      </c>
      <c r="S45" s="10"/>
      <c r="T45" s="40">
        <f t="shared" si="1"/>
        <v>0.9</v>
      </c>
      <c r="U45" s="8"/>
    </row>
    <row r="46" spans="1:35" ht="15.75" x14ac:dyDescent="0.25">
      <c r="A46" s="505"/>
      <c r="B46" s="504" t="s">
        <v>12</v>
      </c>
      <c r="C46" s="504"/>
      <c r="D46" s="504"/>
      <c r="E46" s="504"/>
      <c r="F46" s="504"/>
      <c r="G46" s="15"/>
      <c r="H46" s="46" t="e">
        <f>(COUNTIFS(#REF!,"ATB10",#REF!,"&lt;&gt;NV"))</f>
        <v>#REF!</v>
      </c>
      <c r="I46" s="10"/>
      <c r="J46" s="46" t="e" cm="1">
        <f t="array" ref="J46">SUM(COUNTIFS(#REF!,"ATB10",#REF!,{"1","2","3","4"}))</f>
        <v>#REF!</v>
      </c>
      <c r="K46" s="10"/>
      <c r="L46" s="16" t="e">
        <f>J46/H46</f>
        <v>#REF!</v>
      </c>
      <c r="M46" s="10"/>
      <c r="N46" s="16">
        <f>$F$1</f>
        <v>1</v>
      </c>
      <c r="O46" s="8"/>
      <c r="P46" s="46" t="e">
        <f>COUNTIFS(#REF!,"ATB10",#REF!,3)+COUNTIFS(#REF!,"ATB10",#REF!,4)</f>
        <v>#REF!</v>
      </c>
      <c r="Q46" s="10"/>
      <c r="R46" s="16">
        <f t="shared" si="12"/>
        <v>0</v>
      </c>
      <c r="S46" s="10"/>
      <c r="T46" s="40">
        <f t="shared" si="1"/>
        <v>0.9</v>
      </c>
      <c r="U46" s="8"/>
    </row>
    <row r="47" spans="1:35" x14ac:dyDescent="0.25">
      <c r="A47" s="506"/>
      <c r="B47" s="504" t="s">
        <v>13</v>
      </c>
      <c r="C47" s="504"/>
      <c r="D47" s="504"/>
      <c r="E47" s="504"/>
      <c r="F47" s="504"/>
      <c r="G47" s="8"/>
      <c r="H47" s="46" t="e">
        <f>H44+H45+H46</f>
        <v>#REF!</v>
      </c>
      <c r="I47" s="10"/>
      <c r="J47" s="46" t="e">
        <f>J44+J45+J46</f>
        <v>#REF!</v>
      </c>
      <c r="K47" s="10"/>
      <c r="L47" s="16" t="e">
        <f>J47/H47</f>
        <v>#REF!</v>
      </c>
      <c r="M47" s="10"/>
      <c r="N47" s="16">
        <f>$F$1</f>
        <v>1</v>
      </c>
      <c r="O47" s="8"/>
      <c r="P47" s="46" t="e">
        <f>SUM(P44:P46)</f>
        <v>#REF!</v>
      </c>
      <c r="Q47" s="10"/>
      <c r="R47" s="16">
        <f t="shared" si="12"/>
        <v>0</v>
      </c>
      <c r="S47" s="10"/>
      <c r="T47" s="40">
        <f t="shared" si="1"/>
        <v>0.9</v>
      </c>
      <c r="U47" s="8"/>
    </row>
    <row r="48" spans="1:35" x14ac:dyDescent="0.25">
      <c r="H48"/>
      <c r="J48"/>
      <c r="P48"/>
    </row>
    <row r="49" spans="1:21" ht="15.75" customHeight="1" x14ac:dyDescent="0.25">
      <c r="A49" s="502" t="s">
        <v>22</v>
      </c>
      <c r="B49" s="504" t="s">
        <v>10</v>
      </c>
      <c r="C49" s="504"/>
      <c r="D49" s="504"/>
      <c r="E49" s="504"/>
      <c r="F49" s="504"/>
      <c r="G49" s="15"/>
      <c r="H49" s="46" t="e">
        <f>COUNTIFS(Cleaning!#REF!,"ATB13",Cleaning!#REF!,"&lt;&gt;NV")</f>
        <v>#REF!</v>
      </c>
      <c r="I49" s="10"/>
      <c r="J49" s="46" t="e" cm="1">
        <f t="array" ref="J49">SUM(COUNTIFS(Cleaning!#REF!,"ATB13",Cleaning!#REF!,{"1","2","3","4"}))</f>
        <v>#REF!</v>
      </c>
      <c r="K49" s="10"/>
      <c r="L49" s="16" t="e">
        <f>J49/H49</f>
        <v>#REF!</v>
      </c>
      <c r="M49" s="10"/>
      <c r="N49" s="16">
        <f>$F$1</f>
        <v>1</v>
      </c>
      <c r="O49" s="8"/>
      <c r="P49" s="46" t="e">
        <f>COUNTIFS(Cleaning!#REF!,"ATB13",Cleaning!#REF!,3)+COUNTIFS(Cleaning!#REF!,"ATB13",Cleaning!#REF!,4)</f>
        <v>#REF!</v>
      </c>
      <c r="Q49" s="10"/>
      <c r="R49" s="16">
        <f t="shared" ref="R49:R52" si="13">IFERROR(P49/J49,0)</f>
        <v>0</v>
      </c>
      <c r="S49" s="10"/>
      <c r="T49" s="40">
        <f t="shared" si="1"/>
        <v>0.9</v>
      </c>
      <c r="U49" s="8"/>
    </row>
    <row r="50" spans="1:21" ht="15.75" x14ac:dyDescent="0.25">
      <c r="A50" s="502"/>
      <c r="B50" s="504" t="s">
        <v>11</v>
      </c>
      <c r="C50" s="504"/>
      <c r="D50" s="504"/>
      <c r="E50" s="504"/>
      <c r="F50" s="504"/>
      <c r="G50" s="15"/>
      <c r="H50" s="46" t="e">
        <f>COUNTIFS(Cleaning!#REF!,"ATB13",Cleaning!#REF!,"&lt;&gt;NV")</f>
        <v>#REF!</v>
      </c>
      <c r="I50" s="10"/>
      <c r="J50" s="46" t="e" cm="1">
        <f t="array" ref="J50">SUM(COUNTIFS(Cleaning!#REF!,"ATB13",Cleaning!#REF!,{"1","2","3","4"}))</f>
        <v>#REF!</v>
      </c>
      <c r="K50" s="10"/>
      <c r="L50" s="16" t="e">
        <f>J50/H50</f>
        <v>#REF!</v>
      </c>
      <c r="M50" s="10"/>
      <c r="N50" s="16">
        <f>$F$1</f>
        <v>1</v>
      </c>
      <c r="O50" s="8"/>
      <c r="P50" s="46" t="e">
        <f>COUNTIFS(Cleaning!#REF!,"ATB13",Cleaning!#REF!,3)+COUNTIFS(Cleaning!#REF!,"ATB13",Cleaning!#REF!,4)</f>
        <v>#REF!</v>
      </c>
      <c r="Q50" s="10"/>
      <c r="R50" s="16">
        <f t="shared" si="13"/>
        <v>0</v>
      </c>
      <c r="S50" s="10"/>
      <c r="T50" s="40">
        <f t="shared" si="1"/>
        <v>0.9</v>
      </c>
      <c r="U50" s="8"/>
    </row>
    <row r="51" spans="1:21" ht="15.75" x14ac:dyDescent="0.25">
      <c r="A51" s="502"/>
      <c r="B51" s="504" t="s">
        <v>12</v>
      </c>
      <c r="C51" s="504"/>
      <c r="D51" s="504"/>
      <c r="E51" s="504"/>
      <c r="F51" s="504"/>
      <c r="G51" s="15"/>
      <c r="H51" s="46" t="e">
        <f>(COUNTIFS(#REF!,"ATB13",#REF!,"&lt;&gt;NV"))</f>
        <v>#REF!</v>
      </c>
      <c r="I51" s="10"/>
      <c r="J51" s="46" t="e" cm="1">
        <f t="array" ref="J51">SUM(COUNTIFS(#REF!,"ATB13",#REF!,{"1","2","3","4"}))</f>
        <v>#REF!</v>
      </c>
      <c r="K51" s="10"/>
      <c r="L51" s="16" t="e">
        <f>J51/H51</f>
        <v>#REF!</v>
      </c>
      <c r="M51" s="10"/>
      <c r="N51" s="16">
        <f>$F$1</f>
        <v>1</v>
      </c>
      <c r="O51" s="8"/>
      <c r="P51" s="46" t="e">
        <f>COUNTIFS(#REF!,"ATB13",#REF!,3)+COUNTIFS(#REF!,"ATB13",#REF!,4)</f>
        <v>#REF!</v>
      </c>
      <c r="Q51" s="10"/>
      <c r="R51" s="16">
        <f t="shared" si="13"/>
        <v>0</v>
      </c>
      <c r="S51" s="10"/>
      <c r="T51" s="40">
        <f t="shared" si="1"/>
        <v>0.9</v>
      </c>
      <c r="U51" s="8"/>
    </row>
    <row r="52" spans="1:21" x14ac:dyDescent="0.25">
      <c r="A52" s="503"/>
      <c r="B52" s="504" t="s">
        <v>13</v>
      </c>
      <c r="C52" s="504"/>
      <c r="D52" s="504"/>
      <c r="E52" s="504"/>
      <c r="F52" s="504"/>
      <c r="G52" s="8"/>
      <c r="H52" s="46" t="e">
        <f>H49+H50+H51</f>
        <v>#REF!</v>
      </c>
      <c r="I52" s="10"/>
      <c r="J52" s="46" t="e">
        <f>J49+J50+J51</f>
        <v>#REF!</v>
      </c>
      <c r="K52" s="10"/>
      <c r="L52" s="16" t="e">
        <f>J52/H52</f>
        <v>#REF!</v>
      </c>
      <c r="M52" s="10"/>
      <c r="N52" s="16">
        <f>$F$1</f>
        <v>1</v>
      </c>
      <c r="O52" s="8"/>
      <c r="P52" s="46" t="e">
        <f>SUM(P49:P51)</f>
        <v>#REF!</v>
      </c>
      <c r="Q52" s="10"/>
      <c r="R52" s="16">
        <f t="shared" si="13"/>
        <v>0</v>
      </c>
      <c r="S52" s="10"/>
      <c r="T52" s="40">
        <f t="shared" si="1"/>
        <v>0.9</v>
      </c>
      <c r="U52" s="8"/>
    </row>
    <row r="53" spans="1:21" ht="15.75" customHeight="1" x14ac:dyDescent="0.25">
      <c r="H53"/>
      <c r="J53"/>
      <c r="P53"/>
    </row>
    <row r="54" spans="1:21" ht="15.75" customHeight="1" x14ac:dyDescent="0.25">
      <c r="A54" s="505" t="s">
        <v>23</v>
      </c>
      <c r="B54" s="504" t="s">
        <v>10</v>
      </c>
      <c r="C54" s="504"/>
      <c r="D54" s="504"/>
      <c r="E54" s="504"/>
      <c r="F54" s="504"/>
      <c r="G54" s="15"/>
      <c r="H54" s="46" t="e">
        <f>COUNTIFS(Cleaning!#REF!,"ATB14",Cleaning!#REF!,"&lt;&gt;NV")</f>
        <v>#REF!</v>
      </c>
      <c r="I54" s="10"/>
      <c r="J54" s="46" t="e" cm="1">
        <f t="array" ref="J54">SUM(COUNTIFS(Cleaning!#REF!,"ATB14",Cleaning!#REF!,{"1","2","3","4"}))</f>
        <v>#REF!</v>
      </c>
      <c r="K54" s="10"/>
      <c r="L54" s="16" t="e">
        <f>J54/H54</f>
        <v>#REF!</v>
      </c>
      <c r="M54" s="10"/>
      <c r="N54" s="16">
        <f>$F$1</f>
        <v>1</v>
      </c>
      <c r="O54" s="8"/>
      <c r="P54" s="46" t="e">
        <f>COUNTIFS(Cleaning!#REF!,"ATB14",Cleaning!#REF!,3)+COUNTIFS(Cleaning!#REF!,"ATB14",Cleaning!#REF!,4)</f>
        <v>#REF!</v>
      </c>
      <c r="Q54" s="10"/>
      <c r="R54" s="16">
        <f t="shared" ref="R54:R57" si="14">IFERROR(P54/J54,0)</f>
        <v>0</v>
      </c>
      <c r="S54" s="10"/>
      <c r="T54" s="40">
        <f t="shared" si="1"/>
        <v>0.9</v>
      </c>
      <c r="U54" s="8"/>
    </row>
    <row r="55" spans="1:21" ht="15.75" customHeight="1" x14ac:dyDescent="0.25">
      <c r="A55" s="505"/>
      <c r="B55" s="504" t="s">
        <v>11</v>
      </c>
      <c r="C55" s="504"/>
      <c r="D55" s="504"/>
      <c r="E55" s="504"/>
      <c r="F55" s="504"/>
      <c r="G55" s="15"/>
      <c r="H55" s="46" t="e">
        <f>COUNTIFS(Cleaning!#REF!,"ATB14",Cleaning!#REF!,"&lt;&gt;NV")</f>
        <v>#REF!</v>
      </c>
      <c r="I55" s="10"/>
      <c r="J55" s="46" t="e" cm="1">
        <f t="array" ref="J55">SUM(COUNTIFS(Cleaning!#REF!,"ATB14",Cleaning!#REF!,{"1","2","3","4"}))</f>
        <v>#REF!</v>
      </c>
      <c r="K55" s="10"/>
      <c r="L55" s="16" t="e">
        <f>J55/H55</f>
        <v>#REF!</v>
      </c>
      <c r="M55" s="10"/>
      <c r="N55" s="16">
        <f>$F$1</f>
        <v>1</v>
      </c>
      <c r="O55" s="8"/>
      <c r="P55" s="46" t="e">
        <f>COUNTIFS(Cleaning!#REF!,"ATB14",Cleaning!#REF!,3)+COUNTIFS(Cleaning!#REF!,"ATB14",Cleaning!#REF!,4)</f>
        <v>#REF!</v>
      </c>
      <c r="Q55" s="10"/>
      <c r="R55" s="16">
        <f t="shared" si="14"/>
        <v>0</v>
      </c>
      <c r="S55" s="10"/>
      <c r="T55" s="40">
        <f t="shared" si="1"/>
        <v>0.9</v>
      </c>
      <c r="U55" s="8"/>
    </row>
    <row r="56" spans="1:21" ht="15.75" customHeight="1" x14ac:dyDescent="0.25">
      <c r="A56" s="505"/>
      <c r="B56" s="504" t="s">
        <v>12</v>
      </c>
      <c r="C56" s="504"/>
      <c r="D56" s="504"/>
      <c r="E56" s="504"/>
      <c r="F56" s="504"/>
      <c r="G56" s="15"/>
      <c r="H56" s="46" t="e">
        <f>(COUNTIFS(#REF!,"ATB14",#REF!,"&lt;&gt;NV"))</f>
        <v>#REF!</v>
      </c>
      <c r="I56" s="10"/>
      <c r="J56" s="46" t="e" cm="1">
        <f t="array" ref="J56">SUM(COUNTIFS(#REF!,"ATB14",#REF!,{"1","2","3","4"}))</f>
        <v>#REF!</v>
      </c>
      <c r="K56" s="10"/>
      <c r="L56" s="16" t="e">
        <f>J56/H56</f>
        <v>#REF!</v>
      </c>
      <c r="M56" s="10"/>
      <c r="N56" s="16">
        <f>$F$1</f>
        <v>1</v>
      </c>
      <c r="O56" s="8"/>
      <c r="P56" s="46" t="e">
        <f>COUNTIFS(#REF!,"ATB14",#REF!,3)+COUNTIFS(#REF!,"ATB14",#REF!,4)</f>
        <v>#REF!</v>
      </c>
      <c r="Q56" s="10"/>
      <c r="R56" s="16">
        <f t="shared" si="14"/>
        <v>0</v>
      </c>
      <c r="S56" s="10"/>
      <c r="T56" s="40">
        <f t="shared" si="1"/>
        <v>0.9</v>
      </c>
      <c r="U56" s="8"/>
    </row>
    <row r="57" spans="1:21" ht="15.75" customHeight="1" x14ac:dyDescent="0.25">
      <c r="A57" s="506"/>
      <c r="B57" s="504" t="s">
        <v>13</v>
      </c>
      <c r="C57" s="504"/>
      <c r="D57" s="504"/>
      <c r="E57" s="504"/>
      <c r="F57" s="504"/>
      <c r="G57" s="8"/>
      <c r="H57" s="46" t="e">
        <f>H54+H55+H56</f>
        <v>#REF!</v>
      </c>
      <c r="I57" s="10"/>
      <c r="J57" s="46" t="e">
        <f>J54+J55+J56</f>
        <v>#REF!</v>
      </c>
      <c r="K57" s="10"/>
      <c r="L57" s="16" t="e">
        <f>J57/H57</f>
        <v>#REF!</v>
      </c>
      <c r="M57" s="10"/>
      <c r="N57" s="16">
        <f>$F$1</f>
        <v>1</v>
      </c>
      <c r="O57" s="8"/>
      <c r="P57" s="46" t="e">
        <f>SUM(P54:P56)</f>
        <v>#REF!</v>
      </c>
      <c r="Q57" s="10"/>
      <c r="R57" s="16">
        <f t="shared" si="14"/>
        <v>0</v>
      </c>
      <c r="S57" s="10"/>
      <c r="T57" s="40">
        <f t="shared" si="1"/>
        <v>0.9</v>
      </c>
      <c r="U57" s="8"/>
    </row>
    <row r="58" spans="1:21" ht="15.75" customHeight="1" x14ac:dyDescent="0.25">
      <c r="H58"/>
      <c r="J58"/>
      <c r="P58"/>
    </row>
    <row r="59" spans="1:21" ht="15.75" customHeight="1" x14ac:dyDescent="0.25">
      <c r="A59" s="510" t="s">
        <v>24</v>
      </c>
      <c r="B59" s="504" t="s">
        <v>10</v>
      </c>
      <c r="C59" s="504"/>
      <c r="D59" s="504"/>
      <c r="E59" s="504"/>
      <c r="F59" s="504"/>
      <c r="H59" s="46" t="e">
        <f>COUNTIFS(Cleaning!#REF!,"ATB18",Cleaning!#REF!,"&lt;&gt;NV")</f>
        <v>#REF!</v>
      </c>
      <c r="J59" s="46" t="e" cm="1">
        <f t="array" ref="J59">SUM(COUNTIFS(Cleaning!#REF!,"ATB18",Cleaning!#REF!,{"1","2","3","4"}))</f>
        <v>#REF!</v>
      </c>
      <c r="K59" s="10"/>
      <c r="L59" s="16" t="e">
        <f>J59/H59</f>
        <v>#REF!</v>
      </c>
      <c r="M59" s="10"/>
      <c r="N59" s="16">
        <f>$F$1</f>
        <v>1</v>
      </c>
      <c r="O59" s="8"/>
      <c r="P59" s="46" t="e">
        <f>COUNTIFS(Cleaning!#REF!,"ATB18",Cleaning!#REF!,3)+COUNTIFS(Cleaning!#REF!,"ATB18",Cleaning!#REF!,4)</f>
        <v>#REF!</v>
      </c>
      <c r="Q59" s="10"/>
      <c r="R59" s="16">
        <f t="shared" ref="R59:R62" si="15">IFERROR(P59/J59,0)</f>
        <v>0</v>
      </c>
      <c r="S59" s="10"/>
      <c r="T59" s="40">
        <f t="shared" si="1"/>
        <v>0.9</v>
      </c>
    </row>
    <row r="60" spans="1:21" ht="15.75" customHeight="1" x14ac:dyDescent="0.25">
      <c r="A60" s="510"/>
      <c r="B60" s="504" t="s">
        <v>11</v>
      </c>
      <c r="C60" s="504"/>
      <c r="D60" s="504"/>
      <c r="E60" s="504"/>
      <c r="F60" s="504"/>
      <c r="H60" s="46" t="e">
        <f>COUNTIFS(Cleaning!#REF!,"ATB18",Cleaning!#REF!,"&lt;&gt;NV")</f>
        <v>#REF!</v>
      </c>
      <c r="J60" s="46" t="e" cm="1">
        <f t="array" ref="J60">SUM(COUNTIFS(Cleaning!#REF!,"ATB18",Cleaning!#REF!,{"1","2","3","4"}))</f>
        <v>#REF!</v>
      </c>
      <c r="K60" s="10"/>
      <c r="L60" s="16" t="e">
        <f>J60/H60</f>
        <v>#REF!</v>
      </c>
      <c r="M60" s="10"/>
      <c r="N60" s="16">
        <f>$F$1</f>
        <v>1</v>
      </c>
      <c r="O60" s="8"/>
      <c r="P60" s="46" t="e">
        <f>COUNTIFS(Cleaning!#REF!,"ATB18",Cleaning!#REF!,3)+COUNTIFS(Cleaning!#REF!,"ATB18",Cleaning!#REF!,4)</f>
        <v>#REF!</v>
      </c>
      <c r="Q60" s="10"/>
      <c r="R60" s="16">
        <f t="shared" si="15"/>
        <v>0</v>
      </c>
      <c r="S60" s="10"/>
      <c r="T60" s="40">
        <f t="shared" si="1"/>
        <v>0.9</v>
      </c>
    </row>
    <row r="61" spans="1:21" ht="15.75" customHeight="1" x14ac:dyDescent="0.25">
      <c r="A61" s="510"/>
      <c r="B61" s="504" t="s">
        <v>12</v>
      </c>
      <c r="C61" s="504"/>
      <c r="D61" s="504"/>
      <c r="E61" s="504"/>
      <c r="F61" s="504"/>
      <c r="H61" s="46" t="e">
        <f>(COUNTIFS(#REF!,"ATB18",#REF!,"&lt;&gt;NV"))</f>
        <v>#REF!</v>
      </c>
      <c r="J61" s="46" t="e" cm="1">
        <f t="array" ref="J61">SUM(COUNTIFS(#REF!,"ATB18",#REF!,{"1","2","3","4"}))</f>
        <v>#REF!</v>
      </c>
      <c r="K61" s="10"/>
      <c r="L61" s="16" t="e">
        <f>J61/H61</f>
        <v>#REF!</v>
      </c>
      <c r="M61" s="10"/>
      <c r="N61" s="16">
        <f>$F$1</f>
        <v>1</v>
      </c>
      <c r="O61" s="8"/>
      <c r="P61" s="46" t="e">
        <f>COUNTIFS(#REF!,"ATB18",#REF!,3)+COUNTIFS(#REF!,"ATB18",#REF!,4)</f>
        <v>#REF!</v>
      </c>
      <c r="Q61" s="10"/>
      <c r="R61" s="16">
        <f t="shared" si="15"/>
        <v>0</v>
      </c>
      <c r="S61" s="10"/>
      <c r="T61" s="40">
        <f t="shared" si="1"/>
        <v>0.9</v>
      </c>
    </row>
    <row r="62" spans="1:21" ht="15.75" customHeight="1" x14ac:dyDescent="0.25">
      <c r="A62" s="511"/>
      <c r="B62" s="504" t="s">
        <v>13</v>
      </c>
      <c r="C62" s="504"/>
      <c r="D62" s="504"/>
      <c r="E62" s="504"/>
      <c r="F62" s="504"/>
      <c r="H62" s="144" t="e">
        <f>SUM(H59:H61)</f>
        <v>#REF!</v>
      </c>
      <c r="J62" s="46" t="e">
        <f>J59+J60+J61</f>
        <v>#REF!</v>
      </c>
      <c r="K62" s="10"/>
      <c r="L62" s="16" t="e">
        <f>J62/H62</f>
        <v>#REF!</v>
      </c>
      <c r="M62" s="10"/>
      <c r="N62" s="16">
        <f>$F$1</f>
        <v>1</v>
      </c>
      <c r="O62" s="8"/>
      <c r="P62" s="46" t="e">
        <f>SUM(P59:P61)</f>
        <v>#REF!</v>
      </c>
      <c r="Q62" s="10"/>
      <c r="R62" s="16">
        <f t="shared" si="15"/>
        <v>0</v>
      </c>
      <c r="S62" s="10"/>
      <c r="T62" s="40">
        <f t="shared" si="1"/>
        <v>0.9</v>
      </c>
    </row>
    <row r="63" spans="1:21" ht="16.5" customHeight="1" x14ac:dyDescent="0.25">
      <c r="H63"/>
      <c r="J63"/>
      <c r="P63"/>
    </row>
    <row r="64" spans="1:21" ht="16.5" customHeight="1" x14ac:dyDescent="0.25">
      <c r="A64" s="510" t="s">
        <v>25</v>
      </c>
      <c r="B64" s="507" t="s">
        <v>10</v>
      </c>
      <c r="C64" s="508"/>
      <c r="D64" s="508"/>
      <c r="E64" s="508"/>
      <c r="F64" s="509"/>
      <c r="H64" s="46" t="e">
        <f>COUNTIFS(Cleaning!#REF!,"ATB19",Cleaning!#REF!,"&lt;&gt;NV")</f>
        <v>#REF!</v>
      </c>
      <c r="J64" s="46" t="e" cm="1">
        <f t="array" ref="J64">SUM(COUNTIFS(Cleaning!#REF!,"ATB19",Cleaning!#REF!,{"1","2","3","4"}))</f>
        <v>#REF!</v>
      </c>
      <c r="K64" s="10"/>
      <c r="L64" s="16" t="e">
        <f>J64/H64</f>
        <v>#REF!</v>
      </c>
      <c r="M64" s="10"/>
      <c r="N64" s="16">
        <f>$F$1</f>
        <v>1</v>
      </c>
      <c r="O64" s="8"/>
      <c r="P64" s="46" t="e">
        <f>COUNTIFS(Cleaning!#REF!,"ATB19",Cleaning!#REF!,3)+COUNTIFS(Cleaning!#REF!,"ATB19",Cleaning!#REF!,4)</f>
        <v>#REF!</v>
      </c>
      <c r="Q64" s="10"/>
      <c r="R64" s="16">
        <f t="shared" ref="R64:R67" si="16">IFERROR(P64/J64,0)</f>
        <v>0</v>
      </c>
      <c r="S64" s="10"/>
      <c r="T64" s="40">
        <f t="shared" si="1"/>
        <v>0.9</v>
      </c>
    </row>
    <row r="65" spans="1:21" ht="16.5" customHeight="1" x14ac:dyDescent="0.25">
      <c r="A65" s="510"/>
      <c r="B65" s="507" t="s">
        <v>11</v>
      </c>
      <c r="C65" s="508"/>
      <c r="D65" s="508"/>
      <c r="E65" s="508"/>
      <c r="F65" s="509"/>
      <c r="H65" s="46" t="e">
        <f>COUNTIFS(Cleaning!#REF!,"ATB19",Cleaning!#REF!,"&lt;&gt;NV")</f>
        <v>#REF!</v>
      </c>
      <c r="J65" s="46" t="e" cm="1">
        <f t="array" ref="J65">SUM(COUNTIFS(Cleaning!#REF!,"ATB19",Cleaning!#REF!,{"1","2","3","4"}))</f>
        <v>#REF!</v>
      </c>
      <c r="K65" s="10"/>
      <c r="L65" s="16" t="e">
        <f>J65/H65</f>
        <v>#REF!</v>
      </c>
      <c r="M65" s="10"/>
      <c r="N65" s="16">
        <f>$F$1</f>
        <v>1</v>
      </c>
      <c r="O65" s="8"/>
      <c r="P65" s="46" t="e">
        <f>COUNTIFS(Cleaning!#REF!,"ATB19",Cleaning!#REF!,3)+COUNTIFS(Cleaning!#REF!,"ATB19",Cleaning!#REF!,4)</f>
        <v>#REF!</v>
      </c>
      <c r="Q65" s="10"/>
      <c r="R65" s="16">
        <f t="shared" si="16"/>
        <v>0</v>
      </c>
      <c r="S65" s="10"/>
      <c r="T65" s="40">
        <f t="shared" si="1"/>
        <v>0.9</v>
      </c>
    </row>
    <row r="66" spans="1:21" ht="15.75" customHeight="1" x14ac:dyDescent="0.25">
      <c r="A66" s="510"/>
      <c r="B66" s="507" t="s">
        <v>12</v>
      </c>
      <c r="C66" s="508"/>
      <c r="D66" s="508"/>
      <c r="E66" s="508"/>
      <c r="F66" s="509"/>
      <c r="H66" s="46" t="e">
        <f>(COUNTIFS(#REF!,"ATB19",#REF!,"&lt;&gt;NV"))</f>
        <v>#REF!</v>
      </c>
      <c r="J66" s="46" t="e" cm="1">
        <f t="array" ref="J66">SUM(COUNTIFS(#REF!,"ATB19",#REF!,{"1","2","3","4"}))</f>
        <v>#REF!</v>
      </c>
      <c r="K66" s="10"/>
      <c r="L66" s="16" t="e">
        <f>J66/H66</f>
        <v>#REF!</v>
      </c>
      <c r="M66" s="10"/>
      <c r="N66" s="16">
        <f>$F$1</f>
        <v>1</v>
      </c>
      <c r="O66" s="8"/>
      <c r="P66" s="46" t="e">
        <f>COUNTIFS(#REF!,"ATB19",#REF!,3)+COUNTIFS(#REF!,"ATB19",#REF!,4)</f>
        <v>#REF!</v>
      </c>
      <c r="Q66" s="10"/>
      <c r="R66" s="16">
        <f t="shared" si="16"/>
        <v>0</v>
      </c>
      <c r="S66" s="10"/>
      <c r="T66" s="40">
        <f t="shared" si="1"/>
        <v>0.9</v>
      </c>
    </row>
    <row r="67" spans="1:21" ht="15.75" customHeight="1" x14ac:dyDescent="0.25">
      <c r="A67" s="510"/>
      <c r="B67" s="507" t="s">
        <v>13</v>
      </c>
      <c r="C67" s="508"/>
      <c r="D67" s="508"/>
      <c r="E67" s="508"/>
      <c r="F67" s="509"/>
      <c r="H67" s="144">
        <v>3</v>
      </c>
      <c r="J67" s="46" t="e">
        <f>J64+J65+J66</f>
        <v>#REF!</v>
      </c>
      <c r="K67" s="10"/>
      <c r="L67" s="16" t="e">
        <f>J67/H67</f>
        <v>#REF!</v>
      </c>
      <c r="M67" s="10"/>
      <c r="N67" s="16">
        <f>$F$1</f>
        <v>1</v>
      </c>
      <c r="O67" s="8"/>
      <c r="P67" s="46" t="e">
        <f>SUM(P64:P66)</f>
        <v>#REF!</v>
      </c>
      <c r="Q67" s="10"/>
      <c r="R67" s="16">
        <f t="shared" si="16"/>
        <v>0</v>
      </c>
      <c r="S67" s="10"/>
      <c r="T67" s="40">
        <f t="shared" si="1"/>
        <v>0.9</v>
      </c>
    </row>
    <row r="68" spans="1:21" ht="15.75" customHeight="1" x14ac:dyDescent="0.25">
      <c r="H68"/>
      <c r="J68"/>
      <c r="P68"/>
    </row>
    <row r="69" spans="1:21" ht="15.75" customHeight="1" x14ac:dyDescent="0.25">
      <c r="A69" s="510" t="s">
        <v>26</v>
      </c>
      <c r="B69" s="507" t="s">
        <v>10</v>
      </c>
      <c r="C69" s="508"/>
      <c r="D69" s="508"/>
      <c r="E69" s="508"/>
      <c r="F69" s="509"/>
      <c r="H69" s="46" t="e">
        <f>COUNTIFS(Cleaning!#REF!,"East Team 1",Cleaning!#REF!,"&lt;&gt;NV")</f>
        <v>#REF!</v>
      </c>
      <c r="J69" s="46" t="e" cm="1">
        <f t="array" ref="J69">SUM(COUNTIFS(Cleaning!#REF!,"East Team 1",Cleaning!#REF!,{"1","2","3","4"}))</f>
        <v>#REF!</v>
      </c>
      <c r="K69" s="10"/>
      <c r="L69" s="16" t="e">
        <f>J69/H69</f>
        <v>#REF!</v>
      </c>
      <c r="M69" s="10"/>
      <c r="N69" s="16">
        <f>$F$1</f>
        <v>1</v>
      </c>
      <c r="O69" s="8"/>
      <c r="P69" s="46" t="e">
        <f>COUNTIFS(Cleaning!#REF!,"East Team 1",Cleaning!#REF!,3)+COUNTIFS(Cleaning!#REF!,"East Team 1",Cleaning!#REF!,4)</f>
        <v>#REF!</v>
      </c>
      <c r="Q69" s="10"/>
      <c r="R69" s="16">
        <f t="shared" ref="R69:R72" si="17">IFERROR(P69/J69,0)</f>
        <v>0</v>
      </c>
      <c r="S69" s="10"/>
      <c r="T69" s="40">
        <f t="shared" ref="T69:T132" si="18">$Q$1</f>
        <v>0.9</v>
      </c>
      <c r="U69" s="8"/>
    </row>
    <row r="70" spans="1:21" ht="15.75" customHeight="1" x14ac:dyDescent="0.25">
      <c r="A70" s="510"/>
      <c r="B70" s="507" t="s">
        <v>11</v>
      </c>
      <c r="C70" s="508"/>
      <c r="D70" s="508"/>
      <c r="E70" s="508"/>
      <c r="F70" s="509"/>
      <c r="H70" s="46" t="e">
        <f>COUNTIFS(Cleaning!#REF!,"East Team 1",Cleaning!#REF!,"&lt;&gt;NV")</f>
        <v>#REF!</v>
      </c>
      <c r="J70" s="46" t="e" cm="1">
        <f t="array" ref="J70">SUM(COUNTIFS(Cleaning!#REF!,"East Team 1",Cleaning!#REF!,{"1","2","3","4"}))</f>
        <v>#REF!</v>
      </c>
      <c r="K70" s="10"/>
      <c r="L70" s="16" t="e">
        <f>J70/H70</f>
        <v>#REF!</v>
      </c>
      <c r="M70" s="10"/>
      <c r="N70" s="16">
        <f>$F$1</f>
        <v>1</v>
      </c>
      <c r="O70" s="8"/>
      <c r="P70" s="46" t="e">
        <f>COUNTIFS(Cleaning!#REF!,"East Team 1",Cleaning!#REF!,3)+COUNTIFS(Cleaning!#REF!,"East Team 1",Cleaning!#REF!,4)</f>
        <v>#REF!</v>
      </c>
      <c r="Q70" s="10"/>
      <c r="R70" s="16">
        <f t="shared" si="17"/>
        <v>0</v>
      </c>
      <c r="S70" s="10"/>
      <c r="T70" s="40">
        <f t="shared" si="18"/>
        <v>0.9</v>
      </c>
      <c r="U70" s="8"/>
    </row>
    <row r="71" spans="1:21" ht="15.75" customHeight="1" x14ac:dyDescent="0.25">
      <c r="A71" s="510"/>
      <c r="B71" s="507" t="s">
        <v>12</v>
      </c>
      <c r="C71" s="508"/>
      <c r="D71" s="508"/>
      <c r="E71" s="508"/>
      <c r="F71" s="509"/>
      <c r="H71" s="46" t="e">
        <f>(COUNTIFS(#REF!,"East Team 1",#REF!,"&lt;&gt;NV"))</f>
        <v>#REF!</v>
      </c>
      <c r="J71" s="46" t="e" cm="1">
        <f t="array" ref="J71">SUM(COUNTIFS(#REF!,"East Team 1",#REF!,{"1","2","3","4"}))</f>
        <v>#REF!</v>
      </c>
      <c r="K71" s="10"/>
      <c r="L71" s="16" t="e">
        <f>J71/H71</f>
        <v>#REF!</v>
      </c>
      <c r="M71" s="10"/>
      <c r="N71" s="16">
        <f>$F$1</f>
        <v>1</v>
      </c>
      <c r="O71" s="8"/>
      <c r="P71" s="46" t="e">
        <f>COUNTIFS(#REF!,"East Team 1",#REF!,3)+COUNTIFS(#REF!,"East Team 1",#REF!,4)</f>
        <v>#REF!</v>
      </c>
      <c r="Q71" s="10"/>
      <c r="R71" s="16">
        <f t="shared" si="17"/>
        <v>0</v>
      </c>
      <c r="S71" s="10"/>
      <c r="T71" s="40">
        <f t="shared" si="18"/>
        <v>0.9</v>
      </c>
      <c r="U71" s="8"/>
    </row>
    <row r="72" spans="1:21" ht="15.75" customHeight="1" x14ac:dyDescent="0.25">
      <c r="A72" s="511"/>
      <c r="B72" s="504" t="s">
        <v>13</v>
      </c>
      <c r="C72" s="504"/>
      <c r="D72" s="504"/>
      <c r="E72" s="504"/>
      <c r="F72" s="504"/>
      <c r="H72" s="66" t="e">
        <f>SUM(H69:H71)</f>
        <v>#REF!</v>
      </c>
      <c r="J72" s="46" t="e">
        <f>J69+J70+J71</f>
        <v>#REF!</v>
      </c>
      <c r="K72" s="10"/>
      <c r="L72" s="16" t="e">
        <f>J72/H72</f>
        <v>#REF!</v>
      </c>
      <c r="M72" s="10"/>
      <c r="N72" s="16">
        <f>$F$1</f>
        <v>1</v>
      </c>
      <c r="O72" s="8"/>
      <c r="P72" s="46" t="e">
        <f>SUM(P69:P71)</f>
        <v>#REF!</v>
      </c>
      <c r="Q72" s="10"/>
      <c r="R72" s="16">
        <f t="shared" si="17"/>
        <v>0</v>
      </c>
      <c r="S72" s="10"/>
      <c r="T72" s="40">
        <f t="shared" si="18"/>
        <v>0.9</v>
      </c>
      <c r="U72" s="8"/>
    </row>
    <row r="73" spans="1:21" ht="15.75" customHeight="1" x14ac:dyDescent="0.25">
      <c r="H73"/>
      <c r="J73"/>
      <c r="P73"/>
    </row>
    <row r="74" spans="1:21" ht="15.75" customHeight="1" x14ac:dyDescent="0.25">
      <c r="A74" s="510" t="s">
        <v>27</v>
      </c>
      <c r="B74" s="504" t="s">
        <v>10</v>
      </c>
      <c r="C74" s="504"/>
      <c r="D74" s="504"/>
      <c r="E74" s="504"/>
      <c r="F74" s="504"/>
      <c r="H74" s="46" t="e">
        <f>COUNTIFS(Cleaning!#REF!,"East Team 2",Cleaning!#REF!,"&lt;&gt;NV")</f>
        <v>#REF!</v>
      </c>
      <c r="J74" s="46" t="e" cm="1">
        <f t="array" ref="J74">SUM(COUNTIFS(Cleaning!#REF!,"East Team 2",Cleaning!#REF!,{"1","2","3","4"}))</f>
        <v>#REF!</v>
      </c>
      <c r="K74" s="10"/>
      <c r="L74" s="16" t="e">
        <f>J74/H74</f>
        <v>#REF!</v>
      </c>
      <c r="M74" s="10"/>
      <c r="N74" s="16">
        <f>$F$1</f>
        <v>1</v>
      </c>
      <c r="O74" s="8"/>
      <c r="P74" s="46" t="e">
        <f>COUNTIFS(Cleaning!#REF!,"East Team 2",Cleaning!#REF!,3)+COUNTIFS(Cleaning!#REF!,"East Team 2",Cleaning!#REF!,4)</f>
        <v>#REF!</v>
      </c>
      <c r="Q74" s="10"/>
      <c r="R74" s="16">
        <f t="shared" ref="R74:R77" si="19">IFERROR(P74/J74,0)</f>
        <v>0</v>
      </c>
      <c r="S74" s="10"/>
      <c r="T74" s="40">
        <f t="shared" si="18"/>
        <v>0.9</v>
      </c>
      <c r="U74" s="8"/>
    </row>
    <row r="75" spans="1:21" ht="15.75" customHeight="1" x14ac:dyDescent="0.25">
      <c r="A75" s="512"/>
      <c r="B75" s="504" t="s">
        <v>11</v>
      </c>
      <c r="C75" s="504"/>
      <c r="D75" s="504"/>
      <c r="E75" s="504"/>
      <c r="F75" s="504"/>
      <c r="H75" s="46" t="e">
        <f>COUNTIFS(Cleaning!#REF!,"East Team 2",Cleaning!#REF!,"&lt;&gt;NV")</f>
        <v>#REF!</v>
      </c>
      <c r="J75" s="46" t="e" cm="1">
        <f t="array" ref="J75">SUM(COUNTIFS(Cleaning!#REF!,"East Team 2",Cleaning!#REF!,{"1","2","3","4"}))</f>
        <v>#REF!</v>
      </c>
      <c r="K75" s="10"/>
      <c r="L75" s="16" t="e">
        <f>J75/H75</f>
        <v>#REF!</v>
      </c>
      <c r="M75" s="10"/>
      <c r="N75" s="16">
        <f>$F$1</f>
        <v>1</v>
      </c>
      <c r="O75" s="8"/>
      <c r="P75" s="46" t="e">
        <f>COUNTIFS(Cleaning!#REF!,"East Team 2",Cleaning!#REF!,3)+COUNTIFS(Cleaning!#REF!,"East Team 2",Cleaning!#REF!,4)</f>
        <v>#REF!</v>
      </c>
      <c r="Q75" s="10"/>
      <c r="R75" s="16">
        <f t="shared" si="19"/>
        <v>0</v>
      </c>
      <c r="S75" s="10"/>
      <c r="T75" s="40">
        <f t="shared" si="18"/>
        <v>0.9</v>
      </c>
      <c r="U75" s="8"/>
    </row>
    <row r="76" spans="1:21" ht="15.75" customHeight="1" x14ac:dyDescent="0.25">
      <c r="A76" s="512"/>
      <c r="B76" s="504" t="s">
        <v>12</v>
      </c>
      <c r="C76" s="504"/>
      <c r="D76" s="504"/>
      <c r="E76" s="504"/>
      <c r="F76" s="504"/>
      <c r="H76" s="46" t="e">
        <f>(COUNTIFS(#REF!,"East Team 2",#REF!,"&lt;&gt;NV"))</f>
        <v>#REF!</v>
      </c>
      <c r="J76" s="46" t="e" cm="1">
        <f t="array" ref="J76">SUM(COUNTIFS(#REF!,"East Team 2",#REF!,{"1","2","3","4"}))</f>
        <v>#REF!</v>
      </c>
      <c r="K76" s="10"/>
      <c r="L76" s="16" t="e">
        <f>J76/H76</f>
        <v>#REF!</v>
      </c>
      <c r="M76" s="10"/>
      <c r="N76" s="16">
        <f>$F$1</f>
        <v>1</v>
      </c>
      <c r="O76" s="8"/>
      <c r="P76" s="46" t="e">
        <f>COUNTIFS(#REF!,"East Team 2",#REF!,3)+COUNTIFS(#REF!,"East Team 2",#REF!,4)</f>
        <v>#REF!</v>
      </c>
      <c r="Q76" s="10"/>
      <c r="R76" s="16">
        <f t="shared" si="19"/>
        <v>0</v>
      </c>
      <c r="S76" s="10"/>
      <c r="T76" s="40">
        <f t="shared" si="18"/>
        <v>0.9</v>
      </c>
      <c r="U76" s="8"/>
    </row>
    <row r="77" spans="1:21" ht="15.75" customHeight="1" x14ac:dyDescent="0.25">
      <c r="A77" s="513"/>
      <c r="B77" s="504" t="s">
        <v>13</v>
      </c>
      <c r="C77" s="504"/>
      <c r="D77" s="504"/>
      <c r="E77" s="504"/>
      <c r="F77" s="504"/>
      <c r="H77" s="144" t="e">
        <f>SUM(H74:H76)</f>
        <v>#REF!</v>
      </c>
      <c r="J77" s="46" t="e">
        <f>J74+J75+J76</f>
        <v>#REF!</v>
      </c>
      <c r="K77" s="10"/>
      <c r="L77" s="16" t="e">
        <f>J77/H77</f>
        <v>#REF!</v>
      </c>
      <c r="M77" s="10"/>
      <c r="N77" s="16">
        <f>$F$1</f>
        <v>1</v>
      </c>
      <c r="O77" s="8"/>
      <c r="P77" s="46" t="e">
        <f>SUM(P74:P76)</f>
        <v>#REF!</v>
      </c>
      <c r="Q77" s="10"/>
      <c r="R77" s="16">
        <f t="shared" si="19"/>
        <v>0</v>
      </c>
      <c r="S77" s="10"/>
      <c r="T77" s="40">
        <f t="shared" si="18"/>
        <v>0.9</v>
      </c>
      <c r="U77" s="8"/>
    </row>
    <row r="78" spans="1:21" ht="15.75" customHeight="1" x14ac:dyDescent="0.25">
      <c r="H78"/>
      <c r="J78"/>
      <c r="P78"/>
    </row>
    <row r="79" spans="1:21" ht="15.75" customHeight="1" x14ac:dyDescent="0.25">
      <c r="A79" s="510" t="s">
        <v>28</v>
      </c>
      <c r="B79" s="504" t="s">
        <v>10</v>
      </c>
      <c r="C79" s="504"/>
      <c r="D79" s="504"/>
      <c r="E79" s="504"/>
      <c r="F79" s="504"/>
      <c r="H79" s="46" t="e">
        <f>COUNTIFS(Cleaning!#REF!,"East Team 3",Cleaning!#REF!,"&lt;&gt;NV")</f>
        <v>#REF!</v>
      </c>
      <c r="J79" s="46" t="e" cm="1">
        <f t="array" ref="J79">SUM(COUNTIFS(Cleaning!#REF!,"East Team 3",Cleaning!#REF!,{"1","2","3","4"}))</f>
        <v>#REF!</v>
      </c>
      <c r="K79" s="10"/>
      <c r="L79" s="16" t="e">
        <f>J79/H79</f>
        <v>#REF!</v>
      </c>
      <c r="M79" s="10"/>
      <c r="N79" s="16">
        <f>$F$1</f>
        <v>1</v>
      </c>
      <c r="O79" s="8"/>
      <c r="P79" s="46" t="e">
        <f>COUNTIFS(Cleaning!#REF!,"East Team 3",Cleaning!#REF!,3)+COUNTIFS(Cleaning!#REF!,"East Team 3",Cleaning!#REF!,4)</f>
        <v>#REF!</v>
      </c>
      <c r="Q79" s="10"/>
      <c r="R79" s="16">
        <f t="shared" ref="R79:R82" si="20">IFERROR(P79/J79,0)</f>
        <v>0</v>
      </c>
      <c r="S79" s="10"/>
      <c r="T79" s="40">
        <f t="shared" si="18"/>
        <v>0.9</v>
      </c>
      <c r="U79" s="8"/>
    </row>
    <row r="80" spans="1:21" ht="15.75" customHeight="1" x14ac:dyDescent="0.25">
      <c r="A80" s="512"/>
      <c r="B80" s="504" t="s">
        <v>11</v>
      </c>
      <c r="C80" s="504"/>
      <c r="D80" s="504"/>
      <c r="E80" s="504"/>
      <c r="F80" s="504"/>
      <c r="H80" s="46" t="e">
        <f>COUNTIFS(Cleaning!#REF!,"East Team 3",Cleaning!#REF!,"&lt;&gt;NV")</f>
        <v>#REF!</v>
      </c>
      <c r="J80" s="46" t="e" cm="1">
        <f t="array" ref="J80">SUM(COUNTIFS(Cleaning!#REF!,"East Team 3",Cleaning!#REF!,{"1","2","3","4"}))</f>
        <v>#REF!</v>
      </c>
      <c r="K80" s="10"/>
      <c r="L80" s="16" t="e">
        <f>J80/H80</f>
        <v>#REF!</v>
      </c>
      <c r="M80" s="10"/>
      <c r="N80" s="16">
        <f>$F$1</f>
        <v>1</v>
      </c>
      <c r="O80" s="8"/>
      <c r="P80" s="46" t="e">
        <f>COUNTIFS(Cleaning!#REF!,"East Team 3",Cleaning!#REF!,3)+COUNTIFS(Cleaning!#REF!,"East Team 3",Cleaning!#REF!,4)</f>
        <v>#REF!</v>
      </c>
      <c r="Q80" s="10"/>
      <c r="R80" s="16">
        <f t="shared" si="20"/>
        <v>0</v>
      </c>
      <c r="S80" s="10"/>
      <c r="T80" s="40">
        <f t="shared" si="18"/>
        <v>0.9</v>
      </c>
      <c r="U80" s="8"/>
    </row>
    <row r="81" spans="1:21" ht="15.75" customHeight="1" x14ac:dyDescent="0.25">
      <c r="A81" s="512"/>
      <c r="B81" s="504" t="s">
        <v>12</v>
      </c>
      <c r="C81" s="504"/>
      <c r="D81" s="504"/>
      <c r="E81" s="504"/>
      <c r="F81" s="504"/>
      <c r="H81" s="46" t="e">
        <f>(COUNTIFS(#REF!,"East Team 3",#REF!,"&lt;&gt;NV"))</f>
        <v>#REF!</v>
      </c>
      <c r="J81" s="46" t="e" cm="1">
        <f t="array" ref="J81">SUM(COUNTIFS(#REF!,"East Team 3",#REF!,{"1","2","3","4"}))</f>
        <v>#REF!</v>
      </c>
      <c r="K81" s="10"/>
      <c r="L81" s="16" t="e">
        <f>J81/H81</f>
        <v>#REF!</v>
      </c>
      <c r="M81" s="10"/>
      <c r="N81" s="16">
        <f>$F$1</f>
        <v>1</v>
      </c>
      <c r="O81" s="8"/>
      <c r="P81" s="46" t="e">
        <f>COUNTIFS(#REF!,"East Team 3",#REF!,3)+COUNTIFS(#REF!,"East Team 3",#REF!,4)</f>
        <v>#REF!</v>
      </c>
      <c r="Q81" s="10"/>
      <c r="R81" s="16">
        <f t="shared" si="20"/>
        <v>0</v>
      </c>
      <c r="S81" s="10"/>
      <c r="T81" s="40">
        <f t="shared" si="18"/>
        <v>0.9</v>
      </c>
      <c r="U81" s="8"/>
    </row>
    <row r="82" spans="1:21" ht="15.75" customHeight="1" x14ac:dyDescent="0.25">
      <c r="A82" s="513"/>
      <c r="B82" s="504" t="s">
        <v>13</v>
      </c>
      <c r="C82" s="504"/>
      <c r="D82" s="504"/>
      <c r="E82" s="504"/>
      <c r="F82" s="504"/>
      <c r="H82" s="144" t="e">
        <f>SUM(H79:H81)</f>
        <v>#REF!</v>
      </c>
      <c r="J82" s="46" t="e">
        <f>J79+J80+J81</f>
        <v>#REF!</v>
      </c>
      <c r="K82" s="10"/>
      <c r="L82" s="16" t="e">
        <f>J82/H82</f>
        <v>#REF!</v>
      </c>
      <c r="M82" s="10"/>
      <c r="N82" s="16">
        <f>$F$1</f>
        <v>1</v>
      </c>
      <c r="O82" s="8"/>
      <c r="P82" s="46" t="e">
        <f>SUM(P79:P81)</f>
        <v>#REF!</v>
      </c>
      <c r="Q82" s="10"/>
      <c r="R82" s="16">
        <f t="shared" si="20"/>
        <v>0</v>
      </c>
      <c r="S82" s="10"/>
      <c r="T82" s="40">
        <f t="shared" si="18"/>
        <v>0.9</v>
      </c>
      <c r="U82" s="8"/>
    </row>
    <row r="83" spans="1:21" ht="15.75" customHeight="1" x14ac:dyDescent="0.25">
      <c r="H83"/>
      <c r="J83"/>
      <c r="P83"/>
    </row>
    <row r="84" spans="1:21" ht="15.75" customHeight="1" x14ac:dyDescent="0.25">
      <c r="A84" s="510" t="s">
        <v>29</v>
      </c>
      <c r="B84" s="504" t="s">
        <v>10</v>
      </c>
      <c r="C84" s="504"/>
      <c r="D84" s="504"/>
      <c r="E84" s="504"/>
      <c r="F84" s="504"/>
      <c r="H84" s="46" t="e">
        <f>COUNTIFS(Cleaning!#REF!,"East Team 4",Cleaning!#REF!,"&lt;&gt;NV")</f>
        <v>#REF!</v>
      </c>
      <c r="J84" s="46" t="e" cm="1">
        <f t="array" ref="J84">SUM(COUNTIFS(Cleaning!#REF!,"East Team 4",Cleaning!#REF!,{"1","2","3","4"}))</f>
        <v>#REF!</v>
      </c>
      <c r="K84" s="10"/>
      <c r="L84" s="16" t="e">
        <f>J84/H84</f>
        <v>#REF!</v>
      </c>
      <c r="M84" s="10"/>
      <c r="N84" s="16">
        <f>$F$1</f>
        <v>1</v>
      </c>
      <c r="O84" s="8"/>
      <c r="P84" s="46" t="e">
        <f>COUNTIFS(Cleaning!#REF!,"East Team 4",Cleaning!#REF!,3)+COUNTIFS(Cleaning!#REF!,"East Team 4",Cleaning!#REF!,4)</f>
        <v>#REF!</v>
      </c>
      <c r="Q84" s="10"/>
      <c r="R84" s="16">
        <f t="shared" ref="R84:R87" si="21">IFERROR(P84/J84,0)</f>
        <v>0</v>
      </c>
      <c r="S84" s="10"/>
      <c r="T84" s="40">
        <f t="shared" si="18"/>
        <v>0.9</v>
      </c>
      <c r="U84" s="8"/>
    </row>
    <row r="85" spans="1:21" ht="15.75" customHeight="1" x14ac:dyDescent="0.25">
      <c r="A85" s="512"/>
      <c r="B85" s="504" t="s">
        <v>11</v>
      </c>
      <c r="C85" s="504"/>
      <c r="D85" s="504"/>
      <c r="E85" s="504"/>
      <c r="F85" s="504"/>
      <c r="H85" s="46" t="e">
        <f>COUNTIFS(Cleaning!#REF!,"East Team 4",Cleaning!#REF!,"&lt;&gt;NV")</f>
        <v>#REF!</v>
      </c>
      <c r="J85" s="46" t="e" cm="1">
        <f t="array" ref="J85">SUM(COUNTIFS(Cleaning!#REF!,"East Team 4",Cleaning!#REF!,{"1","2","3","4"}))</f>
        <v>#REF!</v>
      </c>
      <c r="K85" s="10"/>
      <c r="L85" s="16" t="e">
        <f>J85/H85</f>
        <v>#REF!</v>
      </c>
      <c r="M85" s="10"/>
      <c r="N85" s="16">
        <f>$F$1</f>
        <v>1</v>
      </c>
      <c r="O85" s="8"/>
      <c r="P85" s="46" t="e">
        <f>COUNTIFS(Cleaning!#REF!,"East Team 4",Cleaning!#REF!,3)+COUNTIFS(Cleaning!#REF!,"East Team 4",Cleaning!#REF!,4)</f>
        <v>#REF!</v>
      </c>
      <c r="Q85" s="10"/>
      <c r="R85" s="16">
        <f t="shared" si="21"/>
        <v>0</v>
      </c>
      <c r="S85" s="10"/>
      <c r="T85" s="40">
        <f t="shared" si="18"/>
        <v>0.9</v>
      </c>
      <c r="U85" s="8"/>
    </row>
    <row r="86" spans="1:21" ht="15.75" customHeight="1" x14ac:dyDescent="0.25">
      <c r="A86" s="512"/>
      <c r="B86" s="504" t="s">
        <v>12</v>
      </c>
      <c r="C86" s="504"/>
      <c r="D86" s="504"/>
      <c r="E86" s="504"/>
      <c r="F86" s="504"/>
      <c r="H86" s="46" t="e">
        <f>(COUNTIFS(#REF!,"East Team 4",#REF!,"&lt;&gt;NV"))</f>
        <v>#REF!</v>
      </c>
      <c r="J86" s="46" t="e" cm="1">
        <f t="array" ref="J86">SUM(COUNTIFS(#REF!,"East Team 4",#REF!,{"1","2","3","4"}))</f>
        <v>#REF!</v>
      </c>
      <c r="K86" s="10"/>
      <c r="L86" s="16" t="e">
        <f>J86/H86</f>
        <v>#REF!</v>
      </c>
      <c r="M86" s="10"/>
      <c r="N86" s="16">
        <f>$F$1</f>
        <v>1</v>
      </c>
      <c r="O86" s="8"/>
      <c r="P86" s="46" t="e">
        <f>COUNTIFS(#REF!,"East Team 4",#REF!,3)+COUNTIFS(#REF!,"East Team 4",#REF!,4)</f>
        <v>#REF!</v>
      </c>
      <c r="Q86" s="10"/>
      <c r="R86" s="16">
        <f t="shared" si="21"/>
        <v>0</v>
      </c>
      <c r="S86" s="10"/>
      <c r="T86" s="40">
        <f t="shared" si="18"/>
        <v>0.9</v>
      </c>
      <c r="U86" s="8"/>
    </row>
    <row r="87" spans="1:21" ht="15.75" customHeight="1" x14ac:dyDescent="0.25">
      <c r="A87" s="513"/>
      <c r="B87" s="504" t="s">
        <v>13</v>
      </c>
      <c r="C87" s="504"/>
      <c r="D87" s="504"/>
      <c r="E87" s="504"/>
      <c r="F87" s="504"/>
      <c r="H87" s="144" t="e">
        <f>SUM(H84:H86)</f>
        <v>#REF!</v>
      </c>
      <c r="J87" s="46" t="e">
        <f>J84+J85+J86</f>
        <v>#REF!</v>
      </c>
      <c r="K87" s="10"/>
      <c r="L87" s="16" t="e">
        <f>J87/H87</f>
        <v>#REF!</v>
      </c>
      <c r="M87" s="10"/>
      <c r="N87" s="16">
        <f>$F$1</f>
        <v>1</v>
      </c>
      <c r="O87" s="8"/>
      <c r="P87" s="46" t="e">
        <f>SUM(P84:P86)</f>
        <v>#REF!</v>
      </c>
      <c r="Q87" s="10"/>
      <c r="R87" s="16">
        <f t="shared" si="21"/>
        <v>0</v>
      </c>
      <c r="S87" s="10"/>
      <c r="T87" s="40">
        <f t="shared" si="18"/>
        <v>0.9</v>
      </c>
      <c r="U87" s="8"/>
    </row>
    <row r="88" spans="1:21" ht="15.75" customHeight="1" x14ac:dyDescent="0.25">
      <c r="H88"/>
      <c r="J88"/>
      <c r="P88"/>
    </row>
    <row r="89" spans="1:21" ht="15.75" customHeight="1" x14ac:dyDescent="0.25">
      <c r="A89" s="514" t="s">
        <v>30</v>
      </c>
      <c r="B89" s="504" t="s">
        <v>10</v>
      </c>
      <c r="C89" s="504"/>
      <c r="D89" s="504"/>
      <c r="E89" s="504"/>
      <c r="F89" s="504"/>
      <c r="H89" s="46" t="e">
        <f>COUNTIFS(Cleaning!#REF!,"North Team 1",Cleaning!#REF!,"&lt;&gt;NV")</f>
        <v>#REF!</v>
      </c>
      <c r="J89" s="46" t="e" cm="1">
        <f t="array" ref="J89">SUM(COUNTIFS(Cleaning!#REF!,"North Team 1",Cleaning!#REF!,{"1","2","3","4"}))</f>
        <v>#REF!</v>
      </c>
      <c r="K89" s="10"/>
      <c r="L89" s="16" t="e">
        <f>J89/H89</f>
        <v>#REF!</v>
      </c>
      <c r="M89" s="10"/>
      <c r="N89" s="16">
        <f>$F$1</f>
        <v>1</v>
      </c>
      <c r="O89" s="8"/>
      <c r="P89" s="46" t="e">
        <f>COUNTIFS(Cleaning!#REF!,"North Team 1",Cleaning!#REF!,3)+COUNTIFS(Cleaning!#REF!,"North Team 1",Cleaning!#REF!,4)</f>
        <v>#REF!</v>
      </c>
      <c r="Q89" s="10"/>
      <c r="R89" s="16">
        <f t="shared" ref="R89:R92" si="22">IFERROR(P89/J89,0)</f>
        <v>0</v>
      </c>
      <c r="S89" s="10"/>
      <c r="T89" s="40">
        <f t="shared" si="18"/>
        <v>0.9</v>
      </c>
      <c r="U89" s="8"/>
    </row>
    <row r="90" spans="1:21" ht="15.75" customHeight="1" x14ac:dyDescent="0.25">
      <c r="A90" s="515"/>
      <c r="B90" s="504" t="s">
        <v>11</v>
      </c>
      <c r="C90" s="504"/>
      <c r="D90" s="504"/>
      <c r="E90" s="504"/>
      <c r="F90" s="504"/>
      <c r="H90" s="46" t="e">
        <f>COUNTIFS(Cleaning!#REF!,"North Team 1",Cleaning!#REF!,"&lt;&gt;NV")</f>
        <v>#REF!</v>
      </c>
      <c r="J90" s="46" t="e" cm="1">
        <f t="array" ref="J90">SUM(COUNTIFS(Cleaning!#REF!,"North Team 1",Cleaning!#REF!,{"1","2","3","4"}))</f>
        <v>#REF!</v>
      </c>
      <c r="K90" s="10"/>
      <c r="L90" s="16" t="e">
        <f>J90/H90</f>
        <v>#REF!</v>
      </c>
      <c r="M90" s="10"/>
      <c r="N90" s="16">
        <f>$F$1</f>
        <v>1</v>
      </c>
      <c r="O90" s="8"/>
      <c r="P90" s="46" t="e">
        <f>COUNTIFS(Cleaning!#REF!,"North Team 1",Cleaning!#REF!,3)+COUNTIFS(Cleaning!#REF!,"North Team 1",Cleaning!#REF!,4)</f>
        <v>#REF!</v>
      </c>
      <c r="Q90" s="10"/>
      <c r="R90" s="16">
        <f t="shared" si="22"/>
        <v>0</v>
      </c>
      <c r="S90" s="10"/>
      <c r="T90" s="40">
        <f t="shared" si="18"/>
        <v>0.9</v>
      </c>
      <c r="U90" s="8"/>
    </row>
    <row r="91" spans="1:21" ht="15.75" customHeight="1" x14ac:dyDescent="0.25">
      <c r="A91" s="515"/>
      <c r="B91" s="504" t="s">
        <v>12</v>
      </c>
      <c r="C91" s="504"/>
      <c r="D91" s="504"/>
      <c r="E91" s="504"/>
      <c r="F91" s="504"/>
      <c r="H91" s="46" t="e">
        <f>(COUNTIFS(#REF!,"North Team 1",#REF!,"&lt;&gt;NV"))</f>
        <v>#REF!</v>
      </c>
      <c r="J91" s="46" t="e" cm="1">
        <f t="array" ref="J91">SUM(COUNTIFS(#REF!,"North Team 1",#REF!,{"1","2","3","4"}))</f>
        <v>#REF!</v>
      </c>
      <c r="K91" s="10"/>
      <c r="L91" s="16" t="e">
        <f>J91/H91</f>
        <v>#REF!</v>
      </c>
      <c r="M91" s="10"/>
      <c r="N91" s="16">
        <f>$F$1</f>
        <v>1</v>
      </c>
      <c r="O91" s="8"/>
      <c r="P91" s="46" t="e">
        <f>COUNTIFS(#REF!,"North Team 1",#REF!,3)+COUNTIFS(#REF!,"North Team 1",#REF!,4)</f>
        <v>#REF!</v>
      </c>
      <c r="Q91" s="10"/>
      <c r="R91" s="16">
        <f t="shared" si="22"/>
        <v>0</v>
      </c>
      <c r="S91" s="10"/>
      <c r="T91" s="40">
        <f t="shared" si="18"/>
        <v>0.9</v>
      </c>
      <c r="U91" s="8"/>
    </row>
    <row r="92" spans="1:21" ht="15.75" customHeight="1" x14ac:dyDescent="0.25">
      <c r="A92" s="516"/>
      <c r="B92" s="504" t="s">
        <v>13</v>
      </c>
      <c r="C92" s="504"/>
      <c r="D92" s="504"/>
      <c r="E92" s="504"/>
      <c r="F92" s="504"/>
      <c r="H92" s="144" t="e">
        <f>SUM(H89:H91)</f>
        <v>#REF!</v>
      </c>
      <c r="J92" s="46" t="e">
        <f>J89+J90+J91</f>
        <v>#REF!</v>
      </c>
      <c r="K92" s="10"/>
      <c r="L92" s="16" t="e">
        <f>J92/H92</f>
        <v>#REF!</v>
      </c>
      <c r="M92" s="10"/>
      <c r="N92" s="16">
        <f>$F$1</f>
        <v>1</v>
      </c>
      <c r="O92" s="8"/>
      <c r="P92" s="46" t="e">
        <f>SUM(P89:P91)</f>
        <v>#REF!</v>
      </c>
      <c r="Q92" s="10"/>
      <c r="R92" s="16">
        <f t="shared" si="22"/>
        <v>0</v>
      </c>
      <c r="S92" s="10"/>
      <c r="T92" s="40">
        <f t="shared" si="18"/>
        <v>0.9</v>
      </c>
      <c r="U92" s="8"/>
    </row>
    <row r="93" spans="1:21" ht="15.75" customHeight="1" x14ac:dyDescent="0.25">
      <c r="H93"/>
      <c r="J93"/>
      <c r="P93"/>
    </row>
    <row r="94" spans="1:21" ht="15.75" customHeight="1" x14ac:dyDescent="0.25">
      <c r="A94" s="514" t="s">
        <v>31</v>
      </c>
      <c r="B94" s="504" t="s">
        <v>10</v>
      </c>
      <c r="C94" s="504"/>
      <c r="D94" s="504"/>
      <c r="E94" s="504"/>
      <c r="F94" s="504"/>
      <c r="H94" s="46" t="e">
        <f>COUNTIFS(Cleaning!#REF!,"North Team 2",Cleaning!#REF!,"&lt;&gt;NV")</f>
        <v>#REF!</v>
      </c>
      <c r="J94" s="46" t="e" cm="1">
        <f t="array" ref="J94">SUM(COUNTIFS(Cleaning!#REF!,"North Team 2",Cleaning!#REF!,{"1","2","3","4"}))</f>
        <v>#REF!</v>
      </c>
      <c r="K94" s="10"/>
      <c r="L94" s="16" t="e">
        <f>J94/H94</f>
        <v>#REF!</v>
      </c>
      <c r="M94" s="10"/>
      <c r="N94" s="16">
        <f>$F$1</f>
        <v>1</v>
      </c>
      <c r="O94" s="8"/>
      <c r="P94" s="46" t="e">
        <f>COUNTIFS(Cleaning!#REF!,"North Team 2",Cleaning!#REF!,3)+COUNTIFS(Cleaning!#REF!,"North Team 2",Cleaning!#REF!,4)</f>
        <v>#REF!</v>
      </c>
      <c r="Q94" s="10"/>
      <c r="R94" s="16">
        <f t="shared" ref="R94:R97" si="23">IFERROR(P94/J94,0)</f>
        <v>0</v>
      </c>
      <c r="S94" s="10"/>
      <c r="T94" s="40">
        <f t="shared" si="18"/>
        <v>0.9</v>
      </c>
      <c r="U94" s="8"/>
    </row>
    <row r="95" spans="1:21" ht="15.75" customHeight="1" x14ac:dyDescent="0.25">
      <c r="A95" s="515"/>
      <c r="B95" s="504" t="s">
        <v>11</v>
      </c>
      <c r="C95" s="504"/>
      <c r="D95" s="504"/>
      <c r="E95" s="504"/>
      <c r="F95" s="504"/>
      <c r="H95" s="46" t="e">
        <f>COUNTIFS(Cleaning!#REF!,"North Team 2",Cleaning!#REF!,"&lt;&gt;NV")</f>
        <v>#REF!</v>
      </c>
      <c r="J95" s="46" t="e" cm="1">
        <f t="array" ref="J95">SUM(COUNTIFS(Cleaning!#REF!,"North Team 2",Cleaning!#REF!,{"1","2","3","4"}))</f>
        <v>#REF!</v>
      </c>
      <c r="K95" s="10"/>
      <c r="L95" s="16" t="e">
        <f>J95/H95</f>
        <v>#REF!</v>
      </c>
      <c r="M95" s="10"/>
      <c r="N95" s="16">
        <f>$F$1</f>
        <v>1</v>
      </c>
      <c r="O95" s="8"/>
      <c r="P95" s="46" t="e">
        <f>COUNTIFS(Cleaning!#REF!,"North Team 2",Cleaning!#REF!,3)+COUNTIFS(Cleaning!#REF!,"North Team 2",Cleaning!#REF!,4)</f>
        <v>#REF!</v>
      </c>
      <c r="Q95" s="10"/>
      <c r="R95" s="16">
        <f t="shared" si="23"/>
        <v>0</v>
      </c>
      <c r="S95" s="10"/>
      <c r="T95" s="40">
        <f t="shared" si="18"/>
        <v>0.9</v>
      </c>
      <c r="U95" s="8"/>
    </row>
    <row r="96" spans="1:21" ht="15.75" customHeight="1" x14ac:dyDescent="0.25">
      <c r="A96" s="515"/>
      <c r="B96" s="504" t="s">
        <v>12</v>
      </c>
      <c r="C96" s="504"/>
      <c r="D96" s="504"/>
      <c r="E96" s="504"/>
      <c r="F96" s="504"/>
      <c r="H96" s="46" t="e">
        <f>(COUNTIFS(#REF!,"North Team 2",#REF!,"&lt;&gt;NV"))</f>
        <v>#REF!</v>
      </c>
      <c r="J96" s="46" t="e" cm="1">
        <f t="array" ref="J96">SUM(COUNTIFS(#REF!,"North Team 2",#REF!,{"1","2","3","4"}))</f>
        <v>#REF!</v>
      </c>
      <c r="K96" s="10"/>
      <c r="L96" s="16" t="e">
        <f>J96/H96</f>
        <v>#REF!</v>
      </c>
      <c r="M96" s="10"/>
      <c r="N96" s="16">
        <f>$F$1</f>
        <v>1</v>
      </c>
      <c r="O96" s="8"/>
      <c r="P96" s="46" t="e">
        <f>COUNTIFS(#REF!,"North Team 2",#REF!,3)+COUNTIFS(#REF!,"North Team 2",#REF!,4)</f>
        <v>#REF!</v>
      </c>
      <c r="Q96" s="10"/>
      <c r="R96" s="16">
        <f t="shared" si="23"/>
        <v>0</v>
      </c>
      <c r="S96" s="10"/>
      <c r="T96" s="40">
        <f t="shared" si="18"/>
        <v>0.9</v>
      </c>
      <c r="U96" s="8"/>
    </row>
    <row r="97" spans="1:21" ht="15.75" customHeight="1" x14ac:dyDescent="0.25">
      <c r="A97" s="516"/>
      <c r="B97" s="504" t="s">
        <v>13</v>
      </c>
      <c r="C97" s="504"/>
      <c r="D97" s="504"/>
      <c r="E97" s="504"/>
      <c r="F97" s="504"/>
      <c r="H97" s="144" t="e">
        <f>SUM(H94:H96)</f>
        <v>#REF!</v>
      </c>
      <c r="J97" s="46" t="e">
        <f>J94+J95+J96</f>
        <v>#REF!</v>
      </c>
      <c r="K97" s="10"/>
      <c r="L97" s="16" t="e">
        <f>J97/H97</f>
        <v>#REF!</v>
      </c>
      <c r="M97" s="10"/>
      <c r="N97" s="16">
        <f>$F$1</f>
        <v>1</v>
      </c>
      <c r="O97" s="8"/>
      <c r="P97" s="46" t="e">
        <f>SUM(P94:P96)</f>
        <v>#REF!</v>
      </c>
      <c r="Q97" s="10"/>
      <c r="R97" s="16">
        <f t="shared" si="23"/>
        <v>0</v>
      </c>
      <c r="S97" s="10"/>
      <c r="T97" s="40">
        <f t="shared" si="18"/>
        <v>0.9</v>
      </c>
      <c r="U97" s="8"/>
    </row>
    <row r="98" spans="1:21" ht="15.75" customHeight="1" x14ac:dyDescent="0.25">
      <c r="H98"/>
      <c r="J98"/>
      <c r="P98"/>
    </row>
    <row r="99" spans="1:21" ht="15.75" customHeight="1" x14ac:dyDescent="0.25">
      <c r="A99" s="514" t="s">
        <v>32</v>
      </c>
      <c r="B99" s="504" t="s">
        <v>10</v>
      </c>
      <c r="C99" s="504"/>
      <c r="D99" s="504"/>
      <c r="E99" s="504"/>
      <c r="F99" s="504"/>
      <c r="H99" s="46" t="e">
        <f>COUNTIFS(Cleaning!#REF!,"North Team 3",Cleaning!#REF!,"&lt;&gt;NV")</f>
        <v>#REF!</v>
      </c>
      <c r="J99" s="46" t="e" cm="1">
        <f t="array" ref="J99">SUM(COUNTIFS(Cleaning!#REF!,"North Team 3",Cleaning!#REF!,{"1","2","3","4"}))</f>
        <v>#REF!</v>
      </c>
      <c r="K99" s="10"/>
      <c r="L99" s="16" t="e">
        <f>J99/H99</f>
        <v>#REF!</v>
      </c>
      <c r="M99" s="10"/>
      <c r="N99" s="16">
        <f>$F$1</f>
        <v>1</v>
      </c>
      <c r="O99" s="8"/>
      <c r="P99" s="46" t="e">
        <f>COUNTIFS(Cleaning!#REF!,"North Team 3",Cleaning!#REF!,3)+COUNTIFS(Cleaning!#REF!,"North Team 3",Cleaning!#REF!,4)</f>
        <v>#REF!</v>
      </c>
      <c r="Q99" s="10"/>
      <c r="R99" s="16">
        <f t="shared" ref="R99:R102" si="24">IFERROR(P99/J99,0)</f>
        <v>0</v>
      </c>
      <c r="S99" s="10"/>
      <c r="T99" s="40">
        <f t="shared" si="18"/>
        <v>0.9</v>
      </c>
      <c r="U99" s="8"/>
    </row>
    <row r="100" spans="1:21" ht="15.75" customHeight="1" x14ac:dyDescent="0.25">
      <c r="A100" s="515"/>
      <c r="B100" s="504" t="s">
        <v>11</v>
      </c>
      <c r="C100" s="504"/>
      <c r="D100" s="504"/>
      <c r="E100" s="504"/>
      <c r="F100" s="504"/>
      <c r="H100" s="46" t="e">
        <f>COUNTIFS(Cleaning!#REF!,"North Team 3",Cleaning!#REF!,"&lt;&gt;NV")</f>
        <v>#REF!</v>
      </c>
      <c r="J100" s="46" t="e" cm="1">
        <f t="array" ref="J100">SUM(COUNTIFS(Cleaning!#REF!,"North Team 3",Cleaning!#REF!,{"1","2","3","4"}))</f>
        <v>#REF!</v>
      </c>
      <c r="K100" s="10"/>
      <c r="L100" s="16" t="e">
        <f>J100/H100</f>
        <v>#REF!</v>
      </c>
      <c r="M100" s="10"/>
      <c r="N100" s="16">
        <f>$F$1</f>
        <v>1</v>
      </c>
      <c r="O100" s="8"/>
      <c r="P100" s="46" t="e">
        <f>COUNTIFS(Cleaning!#REF!,"North Team 3",Cleaning!#REF!,3)+COUNTIFS(Cleaning!#REF!,"North Team 3",Cleaning!#REF!,4)</f>
        <v>#REF!</v>
      </c>
      <c r="Q100" s="10"/>
      <c r="R100" s="16">
        <f t="shared" si="24"/>
        <v>0</v>
      </c>
      <c r="S100" s="10"/>
      <c r="T100" s="40">
        <f t="shared" si="18"/>
        <v>0.9</v>
      </c>
      <c r="U100" s="8"/>
    </row>
    <row r="101" spans="1:21" ht="15.75" customHeight="1" x14ac:dyDescent="0.25">
      <c r="A101" s="515"/>
      <c r="B101" s="504" t="s">
        <v>12</v>
      </c>
      <c r="C101" s="504"/>
      <c r="D101" s="504"/>
      <c r="E101" s="504"/>
      <c r="F101" s="504"/>
      <c r="H101" s="46" t="e">
        <f>(COUNTIFS(#REF!,"North Team 3",#REF!,"&lt;&gt;NV"))</f>
        <v>#REF!</v>
      </c>
      <c r="J101" s="46" t="e" cm="1">
        <f t="array" ref="J101">SUM(COUNTIFS(#REF!,"North Team 3",#REF!,{"1","2","3","4"}))</f>
        <v>#REF!</v>
      </c>
      <c r="K101" s="10"/>
      <c r="L101" s="16" t="e">
        <f>J101/H101</f>
        <v>#REF!</v>
      </c>
      <c r="M101" s="10"/>
      <c r="N101" s="16">
        <f>$F$1</f>
        <v>1</v>
      </c>
      <c r="O101" s="8"/>
      <c r="P101" s="46" t="e">
        <f>COUNTIFS(#REF!,"North Team 3",#REF!,3)+COUNTIFS(#REF!,"North Team 3",#REF!,4)</f>
        <v>#REF!</v>
      </c>
      <c r="Q101" s="10"/>
      <c r="R101" s="16">
        <f t="shared" si="24"/>
        <v>0</v>
      </c>
      <c r="S101" s="10"/>
      <c r="T101" s="40">
        <f t="shared" si="18"/>
        <v>0.9</v>
      </c>
      <c r="U101" s="8"/>
    </row>
    <row r="102" spans="1:21" ht="15.75" customHeight="1" x14ac:dyDescent="0.25">
      <c r="A102" s="516"/>
      <c r="B102" s="504" t="s">
        <v>13</v>
      </c>
      <c r="C102" s="504"/>
      <c r="D102" s="504"/>
      <c r="E102" s="504"/>
      <c r="F102" s="504"/>
      <c r="H102" s="144" t="e">
        <f>SUM(H99:H101)</f>
        <v>#REF!</v>
      </c>
      <c r="J102" s="46" t="e">
        <f>J99+J100+J101</f>
        <v>#REF!</v>
      </c>
      <c r="K102" s="10"/>
      <c r="L102" s="16" t="e">
        <f>J102/H102</f>
        <v>#REF!</v>
      </c>
      <c r="M102" s="10"/>
      <c r="N102" s="16">
        <f>$F$1</f>
        <v>1</v>
      </c>
      <c r="O102" s="8"/>
      <c r="P102" s="46" t="e">
        <f>SUM(P99:P101)</f>
        <v>#REF!</v>
      </c>
      <c r="Q102" s="10"/>
      <c r="R102" s="16">
        <f t="shared" si="24"/>
        <v>0</v>
      </c>
      <c r="S102" s="10"/>
      <c r="T102" s="40">
        <f t="shared" si="18"/>
        <v>0.9</v>
      </c>
      <c r="U102" s="8"/>
    </row>
    <row r="103" spans="1:21" ht="15.75" customHeight="1" x14ac:dyDescent="0.25">
      <c r="H103"/>
      <c r="J103"/>
      <c r="P103"/>
    </row>
    <row r="104" spans="1:21" ht="15.75" customHeight="1" x14ac:dyDescent="0.25">
      <c r="A104" s="514" t="s">
        <v>33</v>
      </c>
      <c r="B104" s="504" t="s">
        <v>10</v>
      </c>
      <c r="C104" s="504"/>
      <c r="D104" s="504"/>
      <c r="E104" s="504"/>
      <c r="F104" s="504"/>
      <c r="H104" s="46" t="e">
        <f>COUNTIFS(Cleaning!#REF!,"North Team 4",Cleaning!#REF!,"&lt;&gt;NV")</f>
        <v>#REF!</v>
      </c>
      <c r="J104" s="46" t="e" cm="1">
        <f t="array" ref="J104">SUM(COUNTIFS(Cleaning!#REF!,"North Team 4",Cleaning!#REF!,{"1","2","3","4"}))</f>
        <v>#REF!</v>
      </c>
      <c r="K104" s="10"/>
      <c r="L104" s="16" t="e">
        <f>J104/H104</f>
        <v>#REF!</v>
      </c>
      <c r="M104" s="10"/>
      <c r="N104" s="16">
        <f>$F$1</f>
        <v>1</v>
      </c>
      <c r="O104" s="8"/>
      <c r="P104" s="46" t="e">
        <f>COUNTIFS(Cleaning!#REF!,"North Team 4",Cleaning!#REF!,3)+COUNTIFS(Cleaning!#REF!,"North Team 4",Cleaning!#REF!,4)</f>
        <v>#REF!</v>
      </c>
      <c r="Q104" s="10"/>
      <c r="R104" s="16">
        <f t="shared" ref="R104:R107" si="25">IFERROR(P104/J104,0)</f>
        <v>0</v>
      </c>
      <c r="S104" s="10"/>
      <c r="T104" s="40">
        <f t="shared" si="18"/>
        <v>0.9</v>
      </c>
      <c r="U104" s="8"/>
    </row>
    <row r="105" spans="1:21" ht="15.75" customHeight="1" x14ac:dyDescent="0.25">
      <c r="A105" s="515"/>
      <c r="B105" s="504" t="s">
        <v>11</v>
      </c>
      <c r="C105" s="504"/>
      <c r="D105" s="504"/>
      <c r="E105" s="504"/>
      <c r="F105" s="504"/>
      <c r="H105" s="46" t="e">
        <f>COUNTIFS(Cleaning!#REF!,"North Team 4",Cleaning!#REF!,"&lt;&gt;NV")</f>
        <v>#REF!</v>
      </c>
      <c r="J105" s="46" t="e" cm="1">
        <f t="array" ref="J105">SUM(COUNTIFS(Cleaning!#REF!,"North Team 4",Cleaning!#REF!,{"1","2","3","4"}))</f>
        <v>#REF!</v>
      </c>
      <c r="K105" s="10"/>
      <c r="L105" s="16" t="e">
        <f>J105/H105</f>
        <v>#REF!</v>
      </c>
      <c r="M105" s="10"/>
      <c r="N105" s="16">
        <f>$F$1</f>
        <v>1</v>
      </c>
      <c r="O105" s="8"/>
      <c r="P105" s="46" t="e">
        <f>COUNTIFS(Cleaning!#REF!,"North Team 4",Cleaning!#REF!,3)+COUNTIFS(Cleaning!#REF!,"North Team 4",Cleaning!#REF!,4)</f>
        <v>#REF!</v>
      </c>
      <c r="Q105" s="10"/>
      <c r="R105" s="16">
        <f t="shared" si="25"/>
        <v>0</v>
      </c>
      <c r="S105" s="10"/>
      <c r="T105" s="40">
        <f t="shared" si="18"/>
        <v>0.9</v>
      </c>
      <c r="U105" s="8"/>
    </row>
    <row r="106" spans="1:21" ht="15.75" customHeight="1" x14ac:dyDescent="0.25">
      <c r="A106" s="515"/>
      <c r="B106" s="504" t="s">
        <v>12</v>
      </c>
      <c r="C106" s="504"/>
      <c r="D106" s="504"/>
      <c r="E106" s="504"/>
      <c r="F106" s="504"/>
      <c r="H106" s="46" t="e">
        <f>(COUNTIFS(#REF!,"North Team 4",#REF!,"&lt;&gt;NV"))</f>
        <v>#REF!</v>
      </c>
      <c r="J106" s="46" t="e" cm="1">
        <f t="array" ref="J106">SUM(COUNTIFS(#REF!,"North Team 4",#REF!,{"1","2","3","4"}))</f>
        <v>#REF!</v>
      </c>
      <c r="K106" s="10"/>
      <c r="L106" s="16" t="e">
        <f>J106/H106</f>
        <v>#REF!</v>
      </c>
      <c r="M106" s="10"/>
      <c r="N106" s="16">
        <f>$F$1</f>
        <v>1</v>
      </c>
      <c r="O106" s="8"/>
      <c r="P106" s="46" t="e">
        <f>COUNTIFS(#REF!,"North Team 4",#REF!,3)+COUNTIFS(#REF!,"North Team 4",#REF!,4)</f>
        <v>#REF!</v>
      </c>
      <c r="Q106" s="10"/>
      <c r="R106" s="16">
        <f t="shared" si="25"/>
        <v>0</v>
      </c>
      <c r="S106" s="10"/>
      <c r="T106" s="40">
        <f t="shared" si="18"/>
        <v>0.9</v>
      </c>
      <c r="U106" s="8"/>
    </row>
    <row r="107" spans="1:21" ht="15.75" customHeight="1" x14ac:dyDescent="0.25">
      <c r="A107" s="516"/>
      <c r="B107" s="504" t="s">
        <v>13</v>
      </c>
      <c r="C107" s="504"/>
      <c r="D107" s="504"/>
      <c r="E107" s="504"/>
      <c r="F107" s="504"/>
      <c r="H107" s="144" t="e">
        <f>SUM(H104:H106)</f>
        <v>#REF!</v>
      </c>
      <c r="J107" s="46" t="e">
        <f>J104+J105+J106</f>
        <v>#REF!</v>
      </c>
      <c r="K107" s="10"/>
      <c r="L107" s="16" t="e">
        <f>J107/H107</f>
        <v>#REF!</v>
      </c>
      <c r="M107" s="10"/>
      <c r="N107" s="16">
        <f>$F$1</f>
        <v>1</v>
      </c>
      <c r="O107" s="8"/>
      <c r="P107" s="46" t="e">
        <f>SUM(P104:P106)</f>
        <v>#REF!</v>
      </c>
      <c r="Q107" s="10"/>
      <c r="R107" s="16">
        <f t="shared" si="25"/>
        <v>0</v>
      </c>
      <c r="S107" s="10"/>
      <c r="T107" s="40">
        <f t="shared" si="18"/>
        <v>0.9</v>
      </c>
      <c r="U107" s="8"/>
    </row>
    <row r="108" spans="1:21" ht="15.75" customHeight="1" x14ac:dyDescent="0.25">
      <c r="H108"/>
      <c r="J108"/>
      <c r="P108"/>
    </row>
    <row r="109" spans="1:21" ht="15.75" customHeight="1" x14ac:dyDescent="0.25">
      <c r="A109" s="514" t="s">
        <v>34</v>
      </c>
      <c r="B109" s="504" t="s">
        <v>10</v>
      </c>
      <c r="C109" s="504"/>
      <c r="D109" s="504"/>
      <c r="E109" s="504"/>
      <c r="F109" s="504"/>
      <c r="H109" s="46" t="e">
        <f>COUNTIFS(Cleaning!#REF!,"North Team 5",Cleaning!#REF!,"&lt;&gt;NV")</f>
        <v>#REF!</v>
      </c>
      <c r="J109" s="46" t="e" cm="1">
        <f t="array" ref="J109">SUM(COUNTIFS(Cleaning!#REF!,"North Team 5",Cleaning!#REF!,{"1","2","3","4"}))</f>
        <v>#REF!</v>
      </c>
      <c r="K109" s="10"/>
      <c r="L109" s="16" t="e">
        <f>J109/H109</f>
        <v>#REF!</v>
      </c>
      <c r="M109" s="10"/>
      <c r="N109" s="16">
        <f>$F$1</f>
        <v>1</v>
      </c>
      <c r="O109" s="8"/>
      <c r="P109" s="46" t="e">
        <f>COUNTIFS(Cleaning!#REF!,"North Team 5",Cleaning!#REF!,3)+COUNTIFS(Cleaning!#REF!,"North Team 5",Cleaning!#REF!,4)</f>
        <v>#REF!</v>
      </c>
      <c r="Q109" s="10"/>
      <c r="R109" s="16">
        <f t="shared" ref="R109:R112" si="26">IFERROR(P109/J109,0)</f>
        <v>0</v>
      </c>
      <c r="S109" s="10"/>
      <c r="T109" s="40">
        <f t="shared" si="18"/>
        <v>0.9</v>
      </c>
      <c r="U109" s="8"/>
    </row>
    <row r="110" spans="1:21" ht="15.75" customHeight="1" x14ac:dyDescent="0.25">
      <c r="A110" s="515"/>
      <c r="B110" s="504" t="s">
        <v>11</v>
      </c>
      <c r="C110" s="504"/>
      <c r="D110" s="504"/>
      <c r="E110" s="504"/>
      <c r="F110" s="504"/>
      <c r="H110" s="46" t="e">
        <f>COUNTIFS(Cleaning!#REF!,"North Team 5",Cleaning!#REF!,"&lt;&gt;NV")</f>
        <v>#REF!</v>
      </c>
      <c r="J110" s="46" t="e" cm="1">
        <f t="array" ref="J110">SUM(COUNTIFS(Cleaning!#REF!,"North Team 5",Cleaning!#REF!,{"1","2","3","4"}))</f>
        <v>#REF!</v>
      </c>
      <c r="K110" s="10"/>
      <c r="L110" s="16" t="e">
        <f>J110/H110</f>
        <v>#REF!</v>
      </c>
      <c r="M110" s="10"/>
      <c r="N110" s="16">
        <f>$F$1</f>
        <v>1</v>
      </c>
      <c r="O110" s="8"/>
      <c r="P110" s="46" t="e">
        <f>COUNTIFS(Cleaning!#REF!,"North Team 5",Cleaning!#REF!,3)+COUNTIFS(Cleaning!#REF!,"North Team 5",Cleaning!#REF!,4)</f>
        <v>#REF!</v>
      </c>
      <c r="Q110" s="10"/>
      <c r="R110" s="16">
        <f t="shared" si="26"/>
        <v>0</v>
      </c>
      <c r="S110" s="10"/>
      <c r="T110" s="40">
        <f t="shared" si="18"/>
        <v>0.9</v>
      </c>
      <c r="U110" s="8"/>
    </row>
    <row r="111" spans="1:21" ht="15.75" customHeight="1" x14ac:dyDescent="0.25">
      <c r="A111" s="515"/>
      <c r="B111" s="504" t="s">
        <v>12</v>
      </c>
      <c r="C111" s="504"/>
      <c r="D111" s="504"/>
      <c r="E111" s="504"/>
      <c r="F111" s="504"/>
      <c r="H111" s="46" t="e">
        <f>(COUNTIFS(#REF!,"North Team 5",#REF!,"&lt;&gt;NV"))</f>
        <v>#REF!</v>
      </c>
      <c r="J111" s="46" t="e" cm="1">
        <f t="array" ref="J111">SUM(COUNTIFS(#REF!,"North Team 5",#REF!,{"1","2","3","4"}))</f>
        <v>#REF!</v>
      </c>
      <c r="K111" s="10"/>
      <c r="L111" s="16" t="e">
        <f>J111/H111</f>
        <v>#REF!</v>
      </c>
      <c r="M111" s="10"/>
      <c r="N111" s="16">
        <f>$F$1</f>
        <v>1</v>
      </c>
      <c r="O111" s="8"/>
      <c r="P111" s="46" t="e">
        <f>COUNTIFS(#REF!,"North Team 5",#REF!,3)+COUNTIFS(#REF!,"North Team 5",#REF!,4)</f>
        <v>#REF!</v>
      </c>
      <c r="Q111" s="10"/>
      <c r="R111" s="16">
        <f t="shared" si="26"/>
        <v>0</v>
      </c>
      <c r="S111" s="10"/>
      <c r="T111" s="40">
        <f t="shared" si="18"/>
        <v>0.9</v>
      </c>
      <c r="U111" s="8"/>
    </row>
    <row r="112" spans="1:21" ht="15.75" customHeight="1" x14ac:dyDescent="0.25">
      <c r="A112" s="516"/>
      <c r="B112" s="504" t="s">
        <v>13</v>
      </c>
      <c r="C112" s="504"/>
      <c r="D112" s="504"/>
      <c r="E112" s="504"/>
      <c r="F112" s="504"/>
      <c r="H112" s="144" t="e">
        <f>SUM(H109:H111)</f>
        <v>#REF!</v>
      </c>
      <c r="J112" s="46" t="e">
        <f>J109+J110+J111</f>
        <v>#REF!</v>
      </c>
      <c r="K112" s="10"/>
      <c r="L112" s="16" t="e">
        <f>J112/H112</f>
        <v>#REF!</v>
      </c>
      <c r="M112" s="10"/>
      <c r="N112" s="16">
        <f>$F$1</f>
        <v>1</v>
      </c>
      <c r="O112" s="8"/>
      <c r="P112" s="46" t="e">
        <f>SUM(P109:P111)</f>
        <v>#REF!</v>
      </c>
      <c r="Q112" s="10"/>
      <c r="R112" s="16">
        <f t="shared" si="26"/>
        <v>0</v>
      </c>
      <c r="S112" s="10"/>
      <c r="T112" s="40">
        <f t="shared" si="18"/>
        <v>0.9</v>
      </c>
      <c r="U112" s="8"/>
    </row>
    <row r="113" spans="1:21" ht="15.75" customHeight="1" x14ac:dyDescent="0.25">
      <c r="H113"/>
      <c r="J113"/>
      <c r="P113"/>
    </row>
    <row r="114" spans="1:21" ht="15.75" customHeight="1" x14ac:dyDescent="0.25">
      <c r="A114" s="514" t="s">
        <v>35</v>
      </c>
      <c r="B114" s="504" t="s">
        <v>10</v>
      </c>
      <c r="C114" s="504"/>
      <c r="D114" s="504"/>
      <c r="E114" s="504"/>
      <c r="F114" s="504"/>
      <c r="G114" t="s">
        <v>3</v>
      </c>
      <c r="H114" s="46" t="e">
        <f>COUNTIFS(Cleaning!#REF!,"North Team 6",Cleaning!#REF!,"&lt;&gt;NV")</f>
        <v>#REF!</v>
      </c>
      <c r="J114" s="46" t="e" cm="1">
        <f t="array" ref="J114">SUM(COUNTIFS(Cleaning!#REF!,"North Team 6",Cleaning!#REF!,{"1","2","3","4"}))</f>
        <v>#REF!</v>
      </c>
      <c r="K114" s="10"/>
      <c r="L114" s="16" t="e">
        <f>J114/H114</f>
        <v>#REF!</v>
      </c>
      <c r="M114" s="10"/>
      <c r="N114" s="16">
        <f>$F$1</f>
        <v>1</v>
      </c>
      <c r="O114" s="8"/>
      <c r="P114" s="46" t="e">
        <f>COUNTIFS(Cleaning!#REF!,"North Team 6",Cleaning!#REF!,3)+COUNTIFS(Cleaning!#REF!,"North Team 6",Cleaning!#REF!,4)</f>
        <v>#REF!</v>
      </c>
      <c r="Q114" s="10"/>
      <c r="R114" s="16">
        <f t="shared" ref="R114:R117" si="27">IFERROR(P114/J114,0)</f>
        <v>0</v>
      </c>
      <c r="S114" s="10"/>
      <c r="T114" s="40">
        <f t="shared" si="18"/>
        <v>0.9</v>
      </c>
      <c r="U114" s="8"/>
    </row>
    <row r="115" spans="1:21" ht="15.75" customHeight="1" x14ac:dyDescent="0.25">
      <c r="A115" s="515"/>
      <c r="B115" s="504" t="s">
        <v>11</v>
      </c>
      <c r="C115" s="504"/>
      <c r="D115" s="504"/>
      <c r="E115" s="504"/>
      <c r="F115" s="504"/>
      <c r="H115" s="46" t="e">
        <f>COUNTIFS(Cleaning!#REF!,"North Team 6",Cleaning!#REF!,"&lt;&gt;NV")</f>
        <v>#REF!</v>
      </c>
      <c r="J115" s="46" t="e" cm="1">
        <f t="array" ref="J115">SUM(COUNTIFS(Cleaning!#REF!,"North Team 6",Cleaning!#REF!,{"1","2","3","4"}))</f>
        <v>#REF!</v>
      </c>
      <c r="K115" s="10"/>
      <c r="L115" s="16" t="e">
        <f>J115/H115</f>
        <v>#REF!</v>
      </c>
      <c r="M115" s="10"/>
      <c r="N115" s="16">
        <f>$F$1</f>
        <v>1</v>
      </c>
      <c r="O115" s="8"/>
      <c r="P115" s="46" t="e">
        <f>COUNTIFS(Cleaning!#REF!,"North Team 6",Cleaning!#REF!,3)+COUNTIFS(Cleaning!#REF!,"North Team 6",Cleaning!#REF!,4)</f>
        <v>#REF!</v>
      </c>
      <c r="Q115" s="10"/>
      <c r="R115" s="16">
        <f t="shared" si="27"/>
        <v>0</v>
      </c>
      <c r="S115" s="10"/>
      <c r="T115" s="40">
        <f t="shared" si="18"/>
        <v>0.9</v>
      </c>
      <c r="U115" s="8"/>
    </row>
    <row r="116" spans="1:21" ht="15.75" customHeight="1" x14ac:dyDescent="0.25">
      <c r="A116" s="515"/>
      <c r="B116" s="504" t="s">
        <v>12</v>
      </c>
      <c r="C116" s="504"/>
      <c r="D116" s="504"/>
      <c r="E116" s="504"/>
      <c r="F116" s="504"/>
      <c r="H116" s="46" t="e">
        <f>(COUNTIFS(#REF!,"North Team 6",#REF!,"&lt;&gt;NV"))</f>
        <v>#REF!</v>
      </c>
      <c r="J116" s="46" t="e" cm="1">
        <f t="array" ref="J116">SUM(COUNTIFS(#REF!,"North Team 6",#REF!,{"1","2","3","4"}))</f>
        <v>#REF!</v>
      </c>
      <c r="K116" s="10"/>
      <c r="L116" s="16" t="e">
        <f>J116/H116</f>
        <v>#REF!</v>
      </c>
      <c r="M116" s="10"/>
      <c r="N116" s="16">
        <f>$F$1</f>
        <v>1</v>
      </c>
      <c r="O116" s="8"/>
      <c r="P116" s="46" t="e">
        <f>COUNTIFS(#REF!,"North Team 6",#REF!,3)+COUNTIFS(#REF!,"North Team 6",#REF!,4)</f>
        <v>#REF!</v>
      </c>
      <c r="Q116" s="10"/>
      <c r="R116" s="16">
        <f t="shared" si="27"/>
        <v>0</v>
      </c>
      <c r="S116" s="10"/>
      <c r="T116" s="40">
        <f t="shared" si="18"/>
        <v>0.9</v>
      </c>
      <c r="U116" s="8"/>
    </row>
    <row r="117" spans="1:21" ht="15.75" customHeight="1" x14ac:dyDescent="0.25">
      <c r="A117" s="516"/>
      <c r="B117" s="504" t="s">
        <v>13</v>
      </c>
      <c r="C117" s="504"/>
      <c r="D117" s="504"/>
      <c r="E117" s="504"/>
      <c r="F117" s="504"/>
      <c r="H117" s="144" t="e">
        <f>SUM(H114:H116)</f>
        <v>#REF!</v>
      </c>
      <c r="J117" s="46" t="e">
        <f>J114+J115+J116</f>
        <v>#REF!</v>
      </c>
      <c r="K117" s="10"/>
      <c r="L117" s="16" t="e">
        <f>J117/H117</f>
        <v>#REF!</v>
      </c>
      <c r="M117" s="10"/>
      <c r="N117" s="16">
        <f>$F$1</f>
        <v>1</v>
      </c>
      <c r="O117" s="8"/>
      <c r="P117" s="46" t="e">
        <f>SUM(P114:P116)</f>
        <v>#REF!</v>
      </c>
      <c r="Q117" s="10"/>
      <c r="R117" s="16">
        <f t="shared" si="27"/>
        <v>0</v>
      </c>
      <c r="S117" s="10"/>
      <c r="T117" s="40">
        <f t="shared" si="18"/>
        <v>0.9</v>
      </c>
      <c r="U117" s="8"/>
    </row>
    <row r="118" spans="1:21" ht="15.75" customHeight="1" x14ac:dyDescent="0.25">
      <c r="H118"/>
      <c r="J118"/>
      <c r="P118"/>
    </row>
    <row r="119" spans="1:21" ht="15.75" customHeight="1" x14ac:dyDescent="0.25">
      <c r="A119" s="514" t="s">
        <v>36</v>
      </c>
      <c r="B119" s="504" t="s">
        <v>10</v>
      </c>
      <c r="C119" s="504"/>
      <c r="D119" s="504"/>
      <c r="E119" s="504"/>
      <c r="F119" s="504"/>
      <c r="H119" s="46" t="e">
        <f>COUNTIFS(Cleaning!#REF!,"North Team 7",Cleaning!#REF!,"&lt;&gt;NV")</f>
        <v>#REF!</v>
      </c>
      <c r="J119" s="46" t="e" cm="1">
        <f t="array" ref="J119">SUM(COUNTIFS(Cleaning!#REF!,"North Team 7",Cleaning!#REF!,{"1","2","3","4"}))</f>
        <v>#REF!</v>
      </c>
      <c r="K119" s="10"/>
      <c r="L119" s="16" t="e">
        <f>J119/H119</f>
        <v>#REF!</v>
      </c>
      <c r="M119" s="10"/>
      <c r="N119" s="16">
        <f>$F$1</f>
        <v>1</v>
      </c>
      <c r="O119" s="8"/>
      <c r="P119" s="46" t="e">
        <f>COUNTIFS(Cleaning!#REF!,"North Team 7",Cleaning!#REF!,3)+COUNTIFS(Cleaning!#REF!,"North Team 7",Cleaning!#REF!,4)</f>
        <v>#REF!</v>
      </c>
      <c r="Q119" s="10"/>
      <c r="R119" s="16">
        <f t="shared" ref="R119:R122" si="28">IFERROR(P119/J119,0)</f>
        <v>0</v>
      </c>
      <c r="S119" s="10"/>
      <c r="T119" s="40">
        <f t="shared" si="18"/>
        <v>0.9</v>
      </c>
      <c r="U119" s="8"/>
    </row>
    <row r="120" spans="1:21" ht="15.75" customHeight="1" x14ac:dyDescent="0.25">
      <c r="A120" s="515"/>
      <c r="B120" s="504" t="s">
        <v>11</v>
      </c>
      <c r="C120" s="504"/>
      <c r="D120" s="504"/>
      <c r="E120" s="504"/>
      <c r="F120" s="504"/>
      <c r="H120" s="46" t="e">
        <f>COUNTIFS(Cleaning!#REF!,"North Team 7",Cleaning!#REF!,"&lt;&gt;NV")</f>
        <v>#REF!</v>
      </c>
      <c r="J120" s="46" t="e" cm="1">
        <f t="array" ref="J120">SUM(COUNTIFS(Cleaning!#REF!,"North Team 7",Cleaning!#REF!,{"1","2","3","4"}))</f>
        <v>#REF!</v>
      </c>
      <c r="K120" s="10"/>
      <c r="L120" s="16" t="e">
        <f>J120/H120</f>
        <v>#REF!</v>
      </c>
      <c r="M120" s="10"/>
      <c r="N120" s="16">
        <f>$F$1</f>
        <v>1</v>
      </c>
      <c r="O120" s="8"/>
      <c r="P120" s="46" t="e">
        <f>COUNTIFS(Cleaning!#REF!,"North Team 7",Cleaning!#REF!,3)+COUNTIFS(Cleaning!#REF!,"North Team 7",Cleaning!#REF!,4)</f>
        <v>#REF!</v>
      </c>
      <c r="Q120" s="10"/>
      <c r="R120" s="16">
        <f t="shared" si="28"/>
        <v>0</v>
      </c>
      <c r="S120" s="10"/>
      <c r="T120" s="40">
        <f t="shared" si="18"/>
        <v>0.9</v>
      </c>
      <c r="U120" s="8"/>
    </row>
    <row r="121" spans="1:21" ht="15.75" customHeight="1" x14ac:dyDescent="0.25">
      <c r="A121" s="515"/>
      <c r="B121" s="504" t="s">
        <v>12</v>
      </c>
      <c r="C121" s="504"/>
      <c r="D121" s="504"/>
      <c r="E121" s="504"/>
      <c r="F121" s="504"/>
      <c r="H121" s="46" t="e">
        <f>(COUNTIFS(#REF!,"North Team 7",#REF!,"&lt;&gt;NV"))</f>
        <v>#REF!</v>
      </c>
      <c r="J121" s="46" t="e" cm="1">
        <f t="array" ref="J121">SUM(COUNTIFS(#REF!,"North Team 7",#REF!,{"1","2","3","4"}))</f>
        <v>#REF!</v>
      </c>
      <c r="K121" s="10"/>
      <c r="L121" s="16" t="e">
        <f>J121/H121</f>
        <v>#REF!</v>
      </c>
      <c r="M121" s="10"/>
      <c r="N121" s="16">
        <f>$F$1</f>
        <v>1</v>
      </c>
      <c r="O121" s="8"/>
      <c r="P121" s="46" t="e">
        <f>COUNTIFS(#REF!,"North Team 7",#REF!,3)+COUNTIFS(#REF!,"North Team 7",#REF!,4)</f>
        <v>#REF!</v>
      </c>
      <c r="Q121" s="10"/>
      <c r="R121" s="16">
        <f t="shared" si="28"/>
        <v>0</v>
      </c>
      <c r="S121" s="10"/>
      <c r="T121" s="40">
        <f t="shared" si="18"/>
        <v>0.9</v>
      </c>
      <c r="U121" s="8"/>
    </row>
    <row r="122" spans="1:21" ht="15.75" customHeight="1" x14ac:dyDescent="0.25">
      <c r="A122" s="516"/>
      <c r="B122" s="504" t="s">
        <v>13</v>
      </c>
      <c r="C122" s="504"/>
      <c r="D122" s="504"/>
      <c r="E122" s="504"/>
      <c r="F122" s="504"/>
      <c r="H122" s="144" t="e">
        <f>SUM(H119:H121)</f>
        <v>#REF!</v>
      </c>
      <c r="J122" s="46" t="e">
        <f>J119+J120+J121</f>
        <v>#REF!</v>
      </c>
      <c r="K122" s="10"/>
      <c r="L122" s="16" t="e">
        <f>J122/H122</f>
        <v>#REF!</v>
      </c>
      <c r="M122" s="10"/>
      <c r="N122" s="16">
        <f>$F$1</f>
        <v>1</v>
      </c>
      <c r="O122" s="8"/>
      <c r="P122" s="46" t="e">
        <f>SUM(P119:P121)</f>
        <v>#REF!</v>
      </c>
      <c r="Q122" s="10"/>
      <c r="R122" s="16">
        <f t="shared" si="28"/>
        <v>0</v>
      </c>
      <c r="S122" s="10"/>
      <c r="T122" s="40">
        <f t="shared" si="18"/>
        <v>0.9</v>
      </c>
      <c r="U122" s="8"/>
    </row>
    <row r="123" spans="1:21" ht="15.75" customHeight="1" x14ac:dyDescent="0.25">
      <c r="H123"/>
      <c r="J123"/>
      <c r="P123"/>
    </row>
    <row r="124" spans="1:21" ht="15.75" customHeight="1" x14ac:dyDescent="0.25">
      <c r="A124" s="505" t="s">
        <v>37</v>
      </c>
      <c r="B124" s="504" t="s">
        <v>10</v>
      </c>
      <c r="C124" s="504"/>
      <c r="D124" s="504"/>
      <c r="E124" s="504"/>
      <c r="F124" s="504"/>
      <c r="G124" t="s">
        <v>3</v>
      </c>
      <c r="H124" s="46" t="e">
        <f>COUNTIFS(Cleaning!#REF!,"South Team 1",Cleaning!#REF!,"&lt;&gt;NV")</f>
        <v>#REF!</v>
      </c>
      <c r="J124" s="46" t="e" cm="1">
        <f t="array" ref="J124">SUM(COUNTIFS(Cleaning!#REF!,"South Team 1",Cleaning!#REF!,{"1","2","3","4"}))</f>
        <v>#REF!</v>
      </c>
      <c r="K124" s="10"/>
      <c r="L124" s="16" t="e">
        <f>J124/H124</f>
        <v>#REF!</v>
      </c>
      <c r="M124" s="10"/>
      <c r="N124" s="16">
        <f>$F$1</f>
        <v>1</v>
      </c>
      <c r="O124" s="8"/>
      <c r="P124" s="46" t="e">
        <f>COUNTIFS(Cleaning!#REF!,"South Team 1",Cleaning!#REF!,3)+COUNTIFS(Cleaning!#REF!,"South Team 1",Cleaning!#REF!,4)</f>
        <v>#REF!</v>
      </c>
      <c r="Q124" s="10"/>
      <c r="R124" s="16">
        <f t="shared" ref="R124:R127" si="29">IFERROR(P124/J124,0)</f>
        <v>0</v>
      </c>
      <c r="S124" s="10"/>
      <c r="T124" s="40">
        <f t="shared" si="18"/>
        <v>0.9</v>
      </c>
      <c r="U124" s="8"/>
    </row>
    <row r="125" spans="1:21" ht="15.75" customHeight="1" x14ac:dyDescent="0.25">
      <c r="A125" s="529"/>
      <c r="B125" s="504" t="s">
        <v>11</v>
      </c>
      <c r="C125" s="504"/>
      <c r="D125" s="504"/>
      <c r="E125" s="504"/>
      <c r="F125" s="504"/>
      <c r="H125" s="46" t="e">
        <f>COUNTIFS(Cleaning!#REF!,"South Team 1",Cleaning!#REF!,"&lt;&gt;NV")</f>
        <v>#REF!</v>
      </c>
      <c r="J125" s="46" t="e" cm="1">
        <f t="array" ref="J125">SUM(COUNTIFS(Cleaning!#REF!,"South Team 1",Cleaning!#REF!,{"1","2","3","4"}))</f>
        <v>#REF!</v>
      </c>
      <c r="K125" s="10"/>
      <c r="L125" s="16" t="e">
        <f>J125/H125</f>
        <v>#REF!</v>
      </c>
      <c r="M125" s="10"/>
      <c r="N125" s="16">
        <f>$F$1</f>
        <v>1</v>
      </c>
      <c r="O125" s="8"/>
      <c r="P125" s="46" t="e">
        <f>COUNTIFS(Cleaning!#REF!,"South Team 1",Cleaning!#REF!,3)+COUNTIFS(Cleaning!#REF!,"South Team 1",Cleaning!#REF!,4)</f>
        <v>#REF!</v>
      </c>
      <c r="Q125" s="10"/>
      <c r="R125" s="16">
        <f t="shared" si="29"/>
        <v>0</v>
      </c>
      <c r="S125" s="10"/>
      <c r="T125" s="40">
        <f t="shared" si="18"/>
        <v>0.9</v>
      </c>
      <c r="U125" s="8"/>
    </row>
    <row r="126" spans="1:21" ht="15.75" customHeight="1" x14ac:dyDescent="0.25">
      <c r="A126" s="529"/>
      <c r="B126" s="504" t="s">
        <v>12</v>
      </c>
      <c r="C126" s="504"/>
      <c r="D126" s="504"/>
      <c r="E126" s="504"/>
      <c r="F126" s="504"/>
      <c r="H126" s="46" t="e">
        <f>(COUNTIFS(#REF!,"South Team 1",#REF!,"&lt;&gt;NV"))</f>
        <v>#REF!</v>
      </c>
      <c r="J126" s="46" t="e" cm="1">
        <f t="array" ref="J126">SUM(COUNTIFS(#REF!,"South Team 1",#REF!,{"1","2","3","4"}))</f>
        <v>#REF!</v>
      </c>
      <c r="K126" s="10"/>
      <c r="L126" s="16" t="e">
        <f>J126/H126</f>
        <v>#REF!</v>
      </c>
      <c r="M126" s="10"/>
      <c r="N126" s="16">
        <f>$F$1</f>
        <v>1</v>
      </c>
      <c r="O126" s="8"/>
      <c r="P126" s="46" t="e">
        <f>COUNTIFS(#REF!,"South Team 1",#REF!,3)+COUNTIFS(#REF!,"South Team 1",#REF!,4)</f>
        <v>#REF!</v>
      </c>
      <c r="Q126" s="10"/>
      <c r="R126" s="16">
        <f t="shared" si="29"/>
        <v>0</v>
      </c>
      <c r="S126" s="10"/>
      <c r="T126" s="40">
        <f t="shared" si="18"/>
        <v>0.9</v>
      </c>
      <c r="U126" s="8"/>
    </row>
    <row r="127" spans="1:21" ht="15.75" customHeight="1" x14ac:dyDescent="0.25">
      <c r="A127" s="530"/>
      <c r="B127" s="504" t="s">
        <v>13</v>
      </c>
      <c r="C127" s="504"/>
      <c r="D127" s="504"/>
      <c r="E127" s="504"/>
      <c r="F127" s="504"/>
      <c r="H127" s="144" t="e">
        <f>SUM(H124:H126)</f>
        <v>#REF!</v>
      </c>
      <c r="J127" s="46" t="e">
        <f>J124+J125+J126</f>
        <v>#REF!</v>
      </c>
      <c r="K127" s="10"/>
      <c r="L127" s="16" t="e">
        <f>J127/H127</f>
        <v>#REF!</v>
      </c>
      <c r="M127" s="10"/>
      <c r="N127" s="16">
        <f>$F$1</f>
        <v>1</v>
      </c>
      <c r="O127" s="8"/>
      <c r="P127" s="46" t="e">
        <f>SUM(P124:P126)</f>
        <v>#REF!</v>
      </c>
      <c r="Q127" s="10"/>
      <c r="R127" s="16">
        <f t="shared" si="29"/>
        <v>0</v>
      </c>
      <c r="S127" s="10"/>
      <c r="T127" s="40">
        <f t="shared" si="18"/>
        <v>0.9</v>
      </c>
      <c r="U127" s="8"/>
    </row>
    <row r="128" spans="1:21" ht="15.75" customHeight="1" x14ac:dyDescent="0.25">
      <c r="H128"/>
      <c r="J128"/>
      <c r="P128"/>
    </row>
    <row r="129" spans="1:21" ht="15.75" customHeight="1" x14ac:dyDescent="0.25">
      <c r="A129" s="505" t="s">
        <v>38</v>
      </c>
      <c r="B129" s="504" t="s">
        <v>10</v>
      </c>
      <c r="C129" s="504"/>
      <c r="D129" s="504"/>
      <c r="E129" s="504"/>
      <c r="F129" s="504"/>
      <c r="H129" s="46" t="e">
        <f>COUNTIFS(Cleaning!#REF!,"South Team 2",Cleaning!#REF!,"&lt;&gt;NV")</f>
        <v>#REF!</v>
      </c>
      <c r="J129" s="46" t="e" cm="1">
        <f t="array" ref="J129">SUM(COUNTIFS(Cleaning!#REF!,"South Team 2",Cleaning!#REF!,{"1","2","3","4"}))</f>
        <v>#REF!</v>
      </c>
      <c r="K129" s="10"/>
      <c r="L129" s="16" t="e">
        <f>J129/H129</f>
        <v>#REF!</v>
      </c>
      <c r="M129" s="10"/>
      <c r="N129" s="16">
        <f>$F$1</f>
        <v>1</v>
      </c>
      <c r="O129" s="8"/>
      <c r="P129" s="46" t="e">
        <f>COUNTIFS(Cleaning!#REF!,"South Team 2",Cleaning!#REF!,3)+COUNTIFS(Cleaning!#REF!,"South Team 2",Cleaning!#REF!,4)</f>
        <v>#REF!</v>
      </c>
      <c r="Q129" s="10"/>
      <c r="R129" s="16">
        <f t="shared" ref="R129:R132" si="30">IFERROR(P129/J129,0)</f>
        <v>0</v>
      </c>
      <c r="S129" s="10"/>
      <c r="T129" s="40">
        <f t="shared" si="18"/>
        <v>0.9</v>
      </c>
      <c r="U129" s="8"/>
    </row>
    <row r="130" spans="1:21" ht="15.75" customHeight="1" x14ac:dyDescent="0.25">
      <c r="A130" s="529"/>
      <c r="B130" s="504" t="s">
        <v>11</v>
      </c>
      <c r="C130" s="504"/>
      <c r="D130" s="504"/>
      <c r="E130" s="504"/>
      <c r="F130" s="504"/>
      <c r="H130" s="46" t="e">
        <f>COUNTIFS(Cleaning!#REF!,"South Team 2",Cleaning!#REF!,"&lt;&gt;NV")</f>
        <v>#REF!</v>
      </c>
      <c r="J130" s="46" t="e" cm="1">
        <f t="array" ref="J130">SUM(COUNTIFS(Cleaning!#REF!,"South Team 2",Cleaning!#REF!,{"1","2","3","4"}))</f>
        <v>#REF!</v>
      </c>
      <c r="K130" s="10"/>
      <c r="L130" s="16" t="e">
        <f>J130/H130</f>
        <v>#REF!</v>
      </c>
      <c r="M130" s="10"/>
      <c r="N130" s="16">
        <f>$F$1</f>
        <v>1</v>
      </c>
      <c r="O130" s="8"/>
      <c r="P130" s="46" t="e">
        <f>COUNTIFS(Cleaning!#REF!,"South Team 2",Cleaning!#REF!,3)+COUNTIFS(Cleaning!#REF!,"South Team 2",Cleaning!#REF!,4)</f>
        <v>#REF!</v>
      </c>
      <c r="Q130" s="10"/>
      <c r="R130" s="16">
        <f t="shared" si="30"/>
        <v>0</v>
      </c>
      <c r="S130" s="10"/>
      <c r="T130" s="40">
        <f t="shared" si="18"/>
        <v>0.9</v>
      </c>
      <c r="U130" s="8"/>
    </row>
    <row r="131" spans="1:21" ht="15.75" customHeight="1" x14ac:dyDescent="0.25">
      <c r="A131" s="529"/>
      <c r="B131" s="504" t="s">
        <v>12</v>
      </c>
      <c r="C131" s="504"/>
      <c r="D131" s="504"/>
      <c r="E131" s="504"/>
      <c r="F131" s="504"/>
      <c r="H131" s="46" t="e">
        <f>(COUNTIFS(#REF!,"South Team 2",#REF!,"&lt;&gt;NV"))</f>
        <v>#REF!</v>
      </c>
      <c r="J131" s="46" t="e" cm="1">
        <f t="array" ref="J131">SUM(COUNTIFS(#REF!,"South Team 2",#REF!,{"1","2","3","4"}))</f>
        <v>#REF!</v>
      </c>
      <c r="K131" s="10"/>
      <c r="L131" s="16" t="e">
        <f>J131/H131</f>
        <v>#REF!</v>
      </c>
      <c r="M131" s="10"/>
      <c r="N131" s="16">
        <f>$F$1</f>
        <v>1</v>
      </c>
      <c r="O131" s="8"/>
      <c r="P131" s="46" t="e">
        <f>COUNTIFS(#REF!,"South Team 2",#REF!,3)+COUNTIFS(#REF!,"South Team 2",#REF!,4)</f>
        <v>#REF!</v>
      </c>
      <c r="Q131" s="10"/>
      <c r="R131" s="16">
        <f t="shared" si="30"/>
        <v>0</v>
      </c>
      <c r="S131" s="10"/>
      <c r="T131" s="40">
        <f t="shared" si="18"/>
        <v>0.9</v>
      </c>
      <c r="U131" s="8"/>
    </row>
    <row r="132" spans="1:21" ht="15.75" customHeight="1" x14ac:dyDescent="0.25">
      <c r="A132" s="530"/>
      <c r="B132" s="504" t="s">
        <v>13</v>
      </c>
      <c r="C132" s="504"/>
      <c r="D132" s="504"/>
      <c r="E132" s="504"/>
      <c r="F132" s="504"/>
      <c r="H132" s="144" t="e">
        <f>SUM(H129:H131)</f>
        <v>#REF!</v>
      </c>
      <c r="J132" s="46" t="e">
        <f>J129+J130+J131</f>
        <v>#REF!</v>
      </c>
      <c r="K132" s="10"/>
      <c r="L132" s="16" t="e">
        <f>J132/H132</f>
        <v>#REF!</v>
      </c>
      <c r="M132" s="10"/>
      <c r="N132" s="16">
        <f>$F$1</f>
        <v>1</v>
      </c>
      <c r="O132" s="8"/>
      <c r="P132" s="46" t="e">
        <f>SUM(P129:P131)</f>
        <v>#REF!</v>
      </c>
      <c r="Q132" s="10"/>
      <c r="R132" s="16">
        <f t="shared" si="30"/>
        <v>0</v>
      </c>
      <c r="S132" s="10"/>
      <c r="T132" s="40">
        <f t="shared" si="18"/>
        <v>0.9</v>
      </c>
      <c r="U132" s="8"/>
    </row>
    <row r="133" spans="1:21" ht="15.75" customHeight="1" thickBot="1" x14ac:dyDescent="0.3">
      <c r="H133"/>
      <c r="J133"/>
      <c r="P133"/>
    </row>
    <row r="134" spans="1:21" ht="15.75" customHeight="1" x14ac:dyDescent="0.25">
      <c r="A134" s="517" t="s">
        <v>39</v>
      </c>
      <c r="B134" s="50" t="s">
        <v>10</v>
      </c>
      <c r="C134" s="50"/>
      <c r="D134" s="50"/>
      <c r="E134" s="50"/>
      <c r="F134" s="51"/>
      <c r="G134" s="15"/>
      <c r="H134" s="46" t="e">
        <f>SUM(H4+H9+H19+H24+H29+H34+H39+H49)</f>
        <v>#REF!</v>
      </c>
      <c r="I134" s="10"/>
      <c r="J134" s="46" t="e">
        <f>SUM(J4+J9+J19+J24+J29+J34+J39+J49)</f>
        <v>#REF!</v>
      </c>
      <c r="K134" s="10"/>
      <c r="L134" s="16" t="e">
        <f>J134/H134</f>
        <v>#REF!</v>
      </c>
      <c r="M134" s="10"/>
      <c r="N134" s="16">
        <f>$F$1</f>
        <v>1</v>
      </c>
      <c r="O134" s="8"/>
      <c r="P134" s="46" t="e">
        <f>SUM(P4+P9+P19+P24+P29+P34+P39+P49)</f>
        <v>#REF!</v>
      </c>
      <c r="Q134" s="10"/>
      <c r="R134" s="16">
        <f t="shared" ref="R134:R137" si="31">IFERROR(P134/J134,0)</f>
        <v>0</v>
      </c>
      <c r="S134" s="10"/>
      <c r="T134" s="40">
        <f t="shared" ref="T134:T152" si="32">$Q$1</f>
        <v>0.9</v>
      </c>
      <c r="U134" s="8"/>
    </row>
    <row r="135" spans="1:21" ht="15.75" customHeight="1" x14ac:dyDescent="0.25">
      <c r="A135" s="518"/>
      <c r="B135" s="50" t="s">
        <v>11</v>
      </c>
      <c r="C135" s="50"/>
      <c r="D135" s="50"/>
      <c r="E135" s="50"/>
      <c r="F135" s="51"/>
      <c r="G135" s="15"/>
      <c r="H135" s="46" t="e">
        <f>SUM(H5+H10+H20+H25+H30+H35+H40+H50)</f>
        <v>#REF!</v>
      </c>
      <c r="I135" s="10"/>
      <c r="J135" s="46" t="e">
        <f>SUM(J5+J10+J20+J25+J30+J35+J40+J50)</f>
        <v>#REF!</v>
      </c>
      <c r="K135" s="10"/>
      <c r="L135" s="16" t="e">
        <f>J135/H135</f>
        <v>#REF!</v>
      </c>
      <c r="M135" s="10"/>
      <c r="N135" s="16">
        <f>$F$1</f>
        <v>1</v>
      </c>
      <c r="O135" s="8"/>
      <c r="P135" s="46" t="e">
        <f>SUM(P5+P10+P20+P25+P30+P35+P40+P50)</f>
        <v>#REF!</v>
      </c>
      <c r="Q135" s="10"/>
      <c r="R135" s="16">
        <f t="shared" si="31"/>
        <v>0</v>
      </c>
      <c r="S135" s="10"/>
      <c r="T135" s="40">
        <f t="shared" si="32"/>
        <v>0.9</v>
      </c>
      <c r="U135" s="8"/>
    </row>
    <row r="136" spans="1:21" ht="15.75" customHeight="1" x14ac:dyDescent="0.25">
      <c r="A136" s="518"/>
      <c r="B136" s="50" t="s">
        <v>12</v>
      </c>
      <c r="C136" s="50"/>
      <c r="D136" s="50"/>
      <c r="E136" s="50"/>
      <c r="F136" s="51"/>
      <c r="G136" s="15"/>
      <c r="H136" s="46" t="e">
        <f>SUM(H6+H11+H21+H26+H31+H36+H41+H51)</f>
        <v>#REF!</v>
      </c>
      <c r="I136" s="10"/>
      <c r="J136" s="46" t="e">
        <f>SUM(J6+J11+J21+J26+J31+J36+J41+J51)</f>
        <v>#REF!</v>
      </c>
      <c r="K136" s="10"/>
      <c r="L136" s="16" t="e">
        <f>J136/H136</f>
        <v>#REF!</v>
      </c>
      <c r="M136" s="10"/>
      <c r="N136" s="16">
        <f>$F$1</f>
        <v>1</v>
      </c>
      <c r="O136" s="8"/>
      <c r="P136" s="46" t="e">
        <f>SUM(P6+P11+P21+P26+P31+P36+P41+P51)</f>
        <v>#REF!</v>
      </c>
      <c r="Q136" s="10"/>
      <c r="R136" s="16">
        <f t="shared" si="31"/>
        <v>0</v>
      </c>
      <c r="S136" s="10"/>
      <c r="T136" s="40">
        <f t="shared" si="32"/>
        <v>0.9</v>
      </c>
      <c r="U136" s="8"/>
    </row>
    <row r="137" spans="1:21" ht="15.75" customHeight="1" thickBot="1" x14ac:dyDescent="0.3">
      <c r="A137" s="519"/>
      <c r="B137" s="50" t="s">
        <v>13</v>
      </c>
      <c r="C137" s="50"/>
      <c r="D137" s="50"/>
      <c r="E137" s="50"/>
      <c r="F137" s="51"/>
      <c r="G137" s="8"/>
      <c r="H137" s="46" t="e">
        <f>SUM(H134+H135+H136)</f>
        <v>#REF!</v>
      </c>
      <c r="I137" s="10"/>
      <c r="J137" s="46" t="e">
        <f>SUM(J7+J12+J22+J27+J32+J37+J42+J52)</f>
        <v>#REF!</v>
      </c>
      <c r="K137" s="10"/>
      <c r="L137" s="16" t="e">
        <f>J137/H137</f>
        <v>#REF!</v>
      </c>
      <c r="M137" s="10"/>
      <c r="N137" s="16">
        <f>$F$1</f>
        <v>1</v>
      </c>
      <c r="O137" s="8"/>
      <c r="P137" s="46" t="e">
        <f>SUM(P7+P12+P22+P27+P32+P37+P42+P52)</f>
        <v>#REF!</v>
      </c>
      <c r="Q137" s="10"/>
      <c r="R137" s="16">
        <f t="shared" si="31"/>
        <v>0</v>
      </c>
      <c r="S137" s="10"/>
      <c r="T137" s="40">
        <f t="shared" si="32"/>
        <v>0.9</v>
      </c>
      <c r="U137" s="8"/>
    </row>
    <row r="138" spans="1:21" ht="15.75" customHeight="1" thickBot="1" x14ac:dyDescent="0.3">
      <c r="H138"/>
      <c r="J138"/>
      <c r="P138"/>
    </row>
    <row r="139" spans="1:21" ht="15.75" customHeight="1" x14ac:dyDescent="0.25">
      <c r="A139" s="520" t="s">
        <v>40</v>
      </c>
      <c r="B139" s="50" t="s">
        <v>10</v>
      </c>
      <c r="C139" s="50"/>
      <c r="D139" s="50"/>
      <c r="E139" s="50"/>
      <c r="F139" s="51"/>
      <c r="G139" s="15"/>
      <c r="H139" s="46" t="e">
        <f>SUM(H14+H44+H54+H124+H129)</f>
        <v>#REF!</v>
      </c>
      <c r="I139" s="10"/>
      <c r="J139" s="46" t="e">
        <f>SUM(J14+J44+J54+J124+J129)</f>
        <v>#REF!</v>
      </c>
      <c r="K139" s="10"/>
      <c r="L139" s="16" t="e">
        <f>J139/H139</f>
        <v>#REF!</v>
      </c>
      <c r="M139" s="10"/>
      <c r="N139" s="16">
        <f>$F$1</f>
        <v>1</v>
      </c>
      <c r="O139" s="8"/>
      <c r="P139" s="46" t="e">
        <f>SUM(P14+P44+P54+P124+P129)</f>
        <v>#REF!</v>
      </c>
      <c r="Q139" s="10"/>
      <c r="R139" s="16">
        <f t="shared" ref="R139:R142" si="33">IFERROR(P139/J139,0)</f>
        <v>0</v>
      </c>
      <c r="S139" s="10"/>
      <c r="T139" s="40">
        <f t="shared" si="32"/>
        <v>0.9</v>
      </c>
      <c r="U139" s="8"/>
    </row>
    <row r="140" spans="1:21" ht="15.75" customHeight="1" x14ac:dyDescent="0.25">
      <c r="A140" s="521"/>
      <c r="B140" s="50" t="s">
        <v>11</v>
      </c>
      <c r="C140" s="50"/>
      <c r="D140" s="50"/>
      <c r="E140" s="50"/>
      <c r="F140" s="51"/>
      <c r="G140" s="15"/>
      <c r="H140" s="46" t="e">
        <f>SUM(H15+H45+H55+H125+H130)</f>
        <v>#REF!</v>
      </c>
      <c r="I140" s="10"/>
      <c r="J140" s="46" t="e">
        <f>SUM(J15+J45+J55+J125+J130)</f>
        <v>#REF!</v>
      </c>
      <c r="K140" s="10"/>
      <c r="L140" s="16" t="e">
        <f>J140/H140</f>
        <v>#REF!</v>
      </c>
      <c r="M140" s="10"/>
      <c r="N140" s="16">
        <f>$F$1</f>
        <v>1</v>
      </c>
      <c r="O140" s="8"/>
      <c r="P140" s="46" t="e">
        <f>SUM(P15+P45+P55+P125+P130)</f>
        <v>#REF!</v>
      </c>
      <c r="Q140" s="10"/>
      <c r="R140" s="16">
        <f t="shared" si="33"/>
        <v>0</v>
      </c>
      <c r="S140" s="10"/>
      <c r="T140" s="40">
        <f t="shared" si="32"/>
        <v>0.9</v>
      </c>
      <c r="U140" s="8"/>
    </row>
    <row r="141" spans="1:21" ht="15.75" customHeight="1" x14ac:dyDescent="0.25">
      <c r="A141" s="521"/>
      <c r="B141" s="50" t="s">
        <v>12</v>
      </c>
      <c r="C141" s="50"/>
      <c r="D141" s="50"/>
      <c r="E141" s="50"/>
      <c r="F141" s="51"/>
      <c r="G141" s="15"/>
      <c r="H141" s="46" t="e">
        <f>SUM(H16+H46+H56+H126+H131)</f>
        <v>#REF!</v>
      </c>
      <c r="I141" s="10"/>
      <c r="J141" s="46" t="e">
        <f>SUM(J16+J46+J56+J126+J131)</f>
        <v>#REF!</v>
      </c>
      <c r="K141" s="10"/>
      <c r="L141" s="16" t="e">
        <f>J141/H141</f>
        <v>#REF!</v>
      </c>
      <c r="M141" s="10"/>
      <c r="N141" s="16">
        <f>$F$1</f>
        <v>1</v>
      </c>
      <c r="O141" s="8"/>
      <c r="P141" s="46" t="e">
        <f>SUM(P16+P46+P56+P126+P131)</f>
        <v>#REF!</v>
      </c>
      <c r="Q141" s="10"/>
      <c r="R141" s="16">
        <f t="shared" si="33"/>
        <v>0</v>
      </c>
      <c r="S141" s="10"/>
      <c r="T141" s="40">
        <f t="shared" si="32"/>
        <v>0.9</v>
      </c>
      <c r="U141" s="8"/>
    </row>
    <row r="142" spans="1:21" ht="15.75" customHeight="1" thickBot="1" x14ac:dyDescent="0.3">
      <c r="A142" s="522"/>
      <c r="B142" s="50" t="s">
        <v>13</v>
      </c>
      <c r="C142" s="50"/>
      <c r="D142" s="50"/>
      <c r="E142" s="50"/>
      <c r="F142" s="51"/>
      <c r="G142" s="8"/>
      <c r="H142" s="46" t="e">
        <f>SUM(H139+H140+H141)</f>
        <v>#REF!</v>
      </c>
      <c r="I142" s="10"/>
      <c r="J142" s="46" t="e">
        <f>SUM(J139+J140+J141)</f>
        <v>#REF!</v>
      </c>
      <c r="K142" s="10"/>
      <c r="L142" s="16" t="e">
        <f>J142/H142</f>
        <v>#REF!</v>
      </c>
      <c r="M142" s="10"/>
      <c r="N142" s="16">
        <f>$F$1</f>
        <v>1</v>
      </c>
      <c r="O142" s="8"/>
      <c r="P142" s="46" t="e">
        <f>SUM(P139+P140+P141)</f>
        <v>#REF!</v>
      </c>
      <c r="Q142" s="10"/>
      <c r="R142" s="16">
        <f t="shared" si="33"/>
        <v>0</v>
      </c>
      <c r="S142" s="10"/>
      <c r="T142" s="40">
        <f t="shared" si="32"/>
        <v>0.9</v>
      </c>
      <c r="U142" s="8"/>
    </row>
    <row r="143" spans="1:21" ht="15.75" thickBot="1" x14ac:dyDescent="0.3">
      <c r="H143"/>
      <c r="J143"/>
      <c r="P143"/>
    </row>
    <row r="144" spans="1:21" ht="15.75" x14ac:dyDescent="0.25">
      <c r="A144" s="523" t="s">
        <v>41</v>
      </c>
      <c r="B144" s="50" t="s">
        <v>10</v>
      </c>
      <c r="C144" s="50"/>
      <c r="D144" s="50"/>
      <c r="E144" s="50"/>
      <c r="F144" s="51"/>
      <c r="G144" s="15"/>
      <c r="H144" s="46" t="e">
        <f>SUM(H59+H69+H74+H79+H84)</f>
        <v>#REF!</v>
      </c>
      <c r="I144" s="10"/>
      <c r="J144" s="46" t="e">
        <f>SUM(J59+J69+J74+J79+J84)</f>
        <v>#REF!</v>
      </c>
      <c r="K144" s="10"/>
      <c r="L144" s="16" t="e">
        <f>J144/H144</f>
        <v>#REF!</v>
      </c>
      <c r="M144" s="10"/>
      <c r="N144" s="16">
        <f>$F$1</f>
        <v>1</v>
      </c>
      <c r="O144" s="8"/>
      <c r="P144" s="46" t="e">
        <f>SUM(P59+P69+P74+P79+P84)</f>
        <v>#REF!</v>
      </c>
      <c r="Q144" s="10"/>
      <c r="R144" s="16">
        <f t="shared" ref="R144:R147" si="34">IFERROR(P144/J144,0)</f>
        <v>0</v>
      </c>
      <c r="S144" s="10"/>
      <c r="T144" s="40">
        <f t="shared" si="32"/>
        <v>0.9</v>
      </c>
    </row>
    <row r="145" spans="1:20" ht="15.75" x14ac:dyDescent="0.25">
      <c r="A145" s="524"/>
      <c r="B145" s="50" t="s">
        <v>11</v>
      </c>
      <c r="C145" s="50"/>
      <c r="D145" s="50"/>
      <c r="E145" s="50"/>
      <c r="F145" s="51"/>
      <c r="G145" s="15"/>
      <c r="H145" s="46" t="e">
        <f>SUM(H60+H70+H75+H80+H85)</f>
        <v>#REF!</v>
      </c>
      <c r="I145" s="10"/>
      <c r="J145" s="46" t="e">
        <f>SUM(J60+J70+J75+J80+J85)</f>
        <v>#REF!</v>
      </c>
      <c r="K145" s="10"/>
      <c r="L145" s="16" t="e">
        <f>J145/H145</f>
        <v>#REF!</v>
      </c>
      <c r="M145" s="10"/>
      <c r="N145" s="16">
        <f>$F$1</f>
        <v>1</v>
      </c>
      <c r="O145" s="8"/>
      <c r="P145" s="46" t="e">
        <f>SUM(P60+P70+P75+P80+P85)</f>
        <v>#REF!</v>
      </c>
      <c r="Q145" s="10"/>
      <c r="R145" s="16">
        <f t="shared" si="34"/>
        <v>0</v>
      </c>
      <c r="S145" s="10"/>
      <c r="T145" s="40">
        <f t="shared" si="32"/>
        <v>0.9</v>
      </c>
    </row>
    <row r="146" spans="1:20" ht="15.75" x14ac:dyDescent="0.25">
      <c r="A146" s="524"/>
      <c r="B146" s="50" t="s">
        <v>12</v>
      </c>
      <c r="C146" s="50"/>
      <c r="D146" s="50"/>
      <c r="E146" s="50"/>
      <c r="F146" s="51"/>
      <c r="G146" s="15"/>
      <c r="H146" s="46" t="e">
        <f>SUM(H61+H71+H76+H81+H86)</f>
        <v>#REF!</v>
      </c>
      <c r="I146" s="10"/>
      <c r="J146" s="46" t="e">
        <f>SUM(J61+J71+J76+J81+J86)</f>
        <v>#REF!</v>
      </c>
      <c r="K146" s="10"/>
      <c r="L146" s="16" t="e">
        <f>J146/H146</f>
        <v>#REF!</v>
      </c>
      <c r="M146" s="10"/>
      <c r="N146" s="16">
        <f>$F$1</f>
        <v>1</v>
      </c>
      <c r="O146" s="8"/>
      <c r="P146" s="46" t="e">
        <f>SUM(P61+P71+P76+P81+P86)</f>
        <v>#REF!</v>
      </c>
      <c r="Q146" s="10"/>
      <c r="R146" s="16">
        <f t="shared" si="34"/>
        <v>0</v>
      </c>
      <c r="S146" s="10"/>
      <c r="T146" s="40">
        <f t="shared" si="32"/>
        <v>0.9</v>
      </c>
    </row>
    <row r="147" spans="1:20" ht="15.75" thickBot="1" x14ac:dyDescent="0.3">
      <c r="A147" s="525"/>
      <c r="B147" s="50" t="s">
        <v>13</v>
      </c>
      <c r="C147" s="50"/>
      <c r="D147" s="50"/>
      <c r="E147" s="50"/>
      <c r="F147" s="51"/>
      <c r="G147" s="8"/>
      <c r="H147" s="46" t="e">
        <f>SUM(H144+H145+H146)</f>
        <v>#REF!</v>
      </c>
      <c r="I147" s="10"/>
      <c r="J147" s="46" t="e">
        <f>SUM(J144+J145+J146)</f>
        <v>#REF!</v>
      </c>
      <c r="K147" s="10"/>
      <c r="L147" s="16" t="e">
        <f>J147/H147</f>
        <v>#REF!</v>
      </c>
      <c r="M147" s="10"/>
      <c r="N147" s="16">
        <f>$F$1</f>
        <v>1</v>
      </c>
      <c r="O147" s="8"/>
      <c r="P147" s="46" t="e">
        <f>SUM(P144+P145+P146)</f>
        <v>#REF!</v>
      </c>
      <c r="Q147" s="10"/>
      <c r="R147" s="16">
        <f t="shared" si="34"/>
        <v>0</v>
      </c>
      <c r="S147" s="10"/>
      <c r="T147" s="40">
        <f t="shared" si="32"/>
        <v>0.9</v>
      </c>
    </row>
    <row r="148" spans="1:20" ht="15.75" thickBot="1" x14ac:dyDescent="0.3">
      <c r="H148"/>
      <c r="J148"/>
      <c r="P148"/>
    </row>
    <row r="149" spans="1:20" ht="15.75" x14ac:dyDescent="0.25">
      <c r="A149" s="526" t="s">
        <v>42</v>
      </c>
      <c r="B149" s="50" t="s">
        <v>10</v>
      </c>
      <c r="C149" s="50"/>
      <c r="D149" s="50"/>
      <c r="E149" s="50"/>
      <c r="F149" s="51"/>
      <c r="G149" s="15"/>
      <c r="H149" s="46" t="e">
        <f>SUM(H89+H94+H99+H104+H109+H114+H119)</f>
        <v>#REF!</v>
      </c>
      <c r="I149" s="10"/>
      <c r="J149" s="46" t="e">
        <f>SUM(J89+J94+J99+J104+J109+J114+J119)</f>
        <v>#REF!</v>
      </c>
      <c r="K149" s="10"/>
      <c r="L149" s="16" t="e">
        <f>J149/H149</f>
        <v>#REF!</v>
      </c>
      <c r="M149" s="10"/>
      <c r="N149" s="16">
        <f>$F$1</f>
        <v>1</v>
      </c>
      <c r="O149" s="8"/>
      <c r="P149" s="46" t="e">
        <f>SUM(P89+P94+P99+P104+P109+P114+P119)</f>
        <v>#REF!</v>
      </c>
      <c r="Q149" s="10"/>
      <c r="R149" s="16">
        <f t="shared" ref="R149:R152" si="35">IFERROR(P149/J149,0)</f>
        <v>0</v>
      </c>
      <c r="S149" s="10"/>
      <c r="T149" s="40">
        <f t="shared" si="32"/>
        <v>0.9</v>
      </c>
    </row>
    <row r="150" spans="1:20" ht="15.75" x14ac:dyDescent="0.25">
      <c r="A150" s="527"/>
      <c r="B150" s="50" t="s">
        <v>11</v>
      </c>
      <c r="C150" s="50"/>
      <c r="D150" s="50"/>
      <c r="E150" s="50"/>
      <c r="F150" s="51"/>
      <c r="G150" s="15"/>
      <c r="H150" s="46" t="e">
        <f>SUM(H90+H95+H100+H105+H110+H115+H120)</f>
        <v>#REF!</v>
      </c>
      <c r="I150" s="10"/>
      <c r="J150" s="46" t="e">
        <f>SUM(J90+J95+J100+J105+J110+J115+J120)</f>
        <v>#REF!</v>
      </c>
      <c r="K150" s="10"/>
      <c r="L150" s="16" t="e">
        <f>J150/H150</f>
        <v>#REF!</v>
      </c>
      <c r="M150" s="10"/>
      <c r="N150" s="16">
        <f>$F$1</f>
        <v>1</v>
      </c>
      <c r="O150" s="8"/>
      <c r="P150" s="46" t="e">
        <f>SUM(P90+P95+P100+P105+P110+P115+P120)</f>
        <v>#REF!</v>
      </c>
      <c r="Q150" s="10"/>
      <c r="R150" s="16">
        <f t="shared" si="35"/>
        <v>0</v>
      </c>
      <c r="S150" s="10"/>
      <c r="T150" s="40">
        <f t="shared" si="32"/>
        <v>0.9</v>
      </c>
    </row>
    <row r="151" spans="1:20" ht="15.75" x14ac:dyDescent="0.25">
      <c r="A151" s="527"/>
      <c r="B151" s="50" t="s">
        <v>12</v>
      </c>
      <c r="C151" s="50"/>
      <c r="D151" s="50"/>
      <c r="E151" s="50"/>
      <c r="F151" s="51"/>
      <c r="G151" s="15"/>
      <c r="H151" s="46" t="e">
        <f>SUM(H91+H96+H101+H106+H111+H116+H121)</f>
        <v>#REF!</v>
      </c>
      <c r="I151" s="10"/>
      <c r="J151" s="46" t="e">
        <f>SUM(J91+J96+J101+J106+J111+J116+J121)</f>
        <v>#REF!</v>
      </c>
      <c r="K151" s="10"/>
      <c r="L151" s="16" t="e">
        <f>J151/H151</f>
        <v>#REF!</v>
      </c>
      <c r="M151" s="10"/>
      <c r="N151" s="16">
        <f>$F$1</f>
        <v>1</v>
      </c>
      <c r="O151" s="8"/>
      <c r="P151" s="46" t="e">
        <f>SUM(P91+P96+P101+P106+P111+P116+P121)</f>
        <v>#REF!</v>
      </c>
      <c r="Q151" s="10"/>
      <c r="R151" s="16">
        <f t="shared" si="35"/>
        <v>0</v>
      </c>
      <c r="S151" s="10"/>
      <c r="T151" s="40">
        <f t="shared" si="32"/>
        <v>0.9</v>
      </c>
    </row>
    <row r="152" spans="1:20" ht="15.75" thickBot="1" x14ac:dyDescent="0.3">
      <c r="A152" s="528"/>
      <c r="B152" s="50" t="s">
        <v>13</v>
      </c>
      <c r="C152" s="50"/>
      <c r="D152" s="50"/>
      <c r="E152" s="50"/>
      <c r="F152" s="51"/>
      <c r="G152" s="8"/>
      <c r="H152" s="46" t="e">
        <f>SUM(H149+H150+H151)</f>
        <v>#REF!</v>
      </c>
      <c r="I152" s="10"/>
      <c r="J152" s="46" t="e">
        <f>SUM(J149+J150+J151)</f>
        <v>#REF!</v>
      </c>
      <c r="K152" s="10"/>
      <c r="L152" s="16" t="e">
        <f>J152/H152</f>
        <v>#REF!</v>
      </c>
      <c r="M152" s="10"/>
      <c r="N152" s="16">
        <f>$F$1</f>
        <v>1</v>
      </c>
      <c r="O152" s="8"/>
      <c r="P152" s="46" t="e">
        <f>SUM(P149+P150+P151)</f>
        <v>#REF!</v>
      </c>
      <c r="Q152" s="10"/>
      <c r="R152" s="16">
        <f t="shared" si="35"/>
        <v>0</v>
      </c>
      <c r="S152" s="10"/>
      <c r="T152" s="40">
        <f t="shared" si="32"/>
        <v>0.9</v>
      </c>
    </row>
    <row r="153" spans="1:20" ht="15.75" thickBot="1" x14ac:dyDescent="0.3">
      <c r="H153"/>
      <c r="J153"/>
      <c r="P153"/>
    </row>
    <row r="154" spans="1:20" ht="29.25" customHeight="1" thickBot="1" x14ac:dyDescent="0.3">
      <c r="E154" s="149" t="s">
        <v>43</v>
      </c>
      <c r="F154" s="150"/>
      <c r="H154" s="151" t="e">
        <f>SUM(H137+H142+H148+H152)</f>
        <v>#REF!</v>
      </c>
      <c r="J154" s="151" t="e">
        <f>SUM(J137+J142+J147+J152)</f>
        <v>#REF!</v>
      </c>
      <c r="L154" s="152" t="e">
        <f>SUM(J154/H154)</f>
        <v>#REF!</v>
      </c>
      <c r="N154" s="16">
        <f>$F$1</f>
        <v>1</v>
      </c>
      <c r="P154" s="151" t="e">
        <f>SUM(P137+P142+P147+P152)</f>
        <v>#REF!</v>
      </c>
      <c r="R154" s="152">
        <f>IFERROR(P154/J154,0)</f>
        <v>0</v>
      </c>
      <c r="T154" s="153">
        <f>IFERROR(P154/J154,0)</f>
        <v>0</v>
      </c>
    </row>
  </sheetData>
  <sheetProtection password="E608" sheet="1" objects="1" scenarios="1"/>
  <mergeCells count="134">
    <mergeCell ref="A4:A7"/>
    <mergeCell ref="B4:F4"/>
    <mergeCell ref="B5:F5"/>
    <mergeCell ref="B6:F6"/>
    <mergeCell ref="B7:F7"/>
    <mergeCell ref="A149:A152"/>
    <mergeCell ref="A139:A142"/>
    <mergeCell ref="A144:A147"/>
    <mergeCell ref="A84:A87"/>
    <mergeCell ref="B84:F84"/>
    <mergeCell ref="B86:F86"/>
    <mergeCell ref="B87:F87"/>
    <mergeCell ref="A64:A67"/>
    <mergeCell ref="B69:F69"/>
    <mergeCell ref="A134:A137"/>
    <mergeCell ref="B77:F77"/>
    <mergeCell ref="A89:A92"/>
    <mergeCell ref="B89:F89"/>
    <mergeCell ref="B90:F90"/>
    <mergeCell ref="B76:F76"/>
    <mergeCell ref="B67:F67"/>
    <mergeCell ref="B66:F66"/>
    <mergeCell ref="B65:F65"/>
    <mergeCell ref="B64:F64"/>
    <mergeCell ref="B85:F85"/>
    <mergeCell ref="B39:F39"/>
    <mergeCell ref="B40:F40"/>
    <mergeCell ref="B41:F41"/>
    <mergeCell ref="B42:F42"/>
    <mergeCell ref="B59:F59"/>
    <mergeCell ref="A59:A62"/>
    <mergeCell ref="B60:F60"/>
    <mergeCell ref="B61:F61"/>
    <mergeCell ref="B62:F62"/>
    <mergeCell ref="B57:F57"/>
    <mergeCell ref="A79:A82"/>
    <mergeCell ref="B79:F79"/>
    <mergeCell ref="B80:F80"/>
    <mergeCell ref="B81:F81"/>
    <mergeCell ref="B82:F82"/>
    <mergeCell ref="A49:A52"/>
    <mergeCell ref="B51:F51"/>
    <mergeCell ref="B50:F50"/>
    <mergeCell ref="B49:F49"/>
    <mergeCell ref="B15:F15"/>
    <mergeCell ref="B30:F30"/>
    <mergeCell ref="B16:F16"/>
    <mergeCell ref="B17:F17"/>
    <mergeCell ref="A44:A47"/>
    <mergeCell ref="B44:F44"/>
    <mergeCell ref="A9:A12"/>
    <mergeCell ref="B9:F9"/>
    <mergeCell ref="B10:F10"/>
    <mergeCell ref="A14:A17"/>
    <mergeCell ref="B11:F11"/>
    <mergeCell ref="B12:F12"/>
    <mergeCell ref="B19:F19"/>
    <mergeCell ref="B20:F20"/>
    <mergeCell ref="A29:A32"/>
    <mergeCell ref="B29:F29"/>
    <mergeCell ref="A24:A27"/>
    <mergeCell ref="B24:F24"/>
    <mergeCell ref="B25:F25"/>
    <mergeCell ref="B26:F26"/>
    <mergeCell ref="B27:F27"/>
    <mergeCell ref="B31:F31"/>
    <mergeCell ref="B14:F14"/>
    <mergeCell ref="B32:F32"/>
    <mergeCell ref="A19:A22"/>
    <mergeCell ref="B21:F21"/>
    <mergeCell ref="B22:F22"/>
    <mergeCell ref="B45:F45"/>
    <mergeCell ref="B46:F46"/>
    <mergeCell ref="B47:F47"/>
    <mergeCell ref="A39:A42"/>
    <mergeCell ref="A34:A37"/>
    <mergeCell ref="B34:F34"/>
    <mergeCell ref="B35:F35"/>
    <mergeCell ref="B36:F36"/>
    <mergeCell ref="B37:F37"/>
    <mergeCell ref="B92:F92"/>
    <mergeCell ref="A94:A97"/>
    <mergeCell ref="B94:F94"/>
    <mergeCell ref="B95:F95"/>
    <mergeCell ref="B96:F96"/>
    <mergeCell ref="B97:F97"/>
    <mergeCell ref="B52:F52"/>
    <mergeCell ref="A129:A132"/>
    <mergeCell ref="B129:F129"/>
    <mergeCell ref="B130:F130"/>
    <mergeCell ref="B131:F131"/>
    <mergeCell ref="B132:F132"/>
    <mergeCell ref="A74:A77"/>
    <mergeCell ref="B74:F74"/>
    <mergeCell ref="B75:F75"/>
    <mergeCell ref="B91:F91"/>
    <mergeCell ref="A54:A57"/>
    <mergeCell ref="B54:F54"/>
    <mergeCell ref="B55:F55"/>
    <mergeCell ref="A69:A72"/>
    <mergeCell ref="B56:F56"/>
    <mergeCell ref="B70:F70"/>
    <mergeCell ref="B71:F71"/>
    <mergeCell ref="B72:F72"/>
    <mergeCell ref="A99:A102"/>
    <mergeCell ref="B99:F99"/>
    <mergeCell ref="B100:F100"/>
    <mergeCell ref="B101:F101"/>
    <mergeCell ref="B102:F102"/>
    <mergeCell ref="A104:A107"/>
    <mergeCell ref="B104:F104"/>
    <mergeCell ref="B105:F105"/>
    <mergeCell ref="B106:F106"/>
    <mergeCell ref="B107:F107"/>
    <mergeCell ref="A109:A112"/>
    <mergeCell ref="B109:F109"/>
    <mergeCell ref="B110:F110"/>
    <mergeCell ref="B111:F111"/>
    <mergeCell ref="B112:F112"/>
    <mergeCell ref="A114:A117"/>
    <mergeCell ref="B114:F114"/>
    <mergeCell ref="B115:F115"/>
    <mergeCell ref="B116:F116"/>
    <mergeCell ref="B117:F117"/>
    <mergeCell ref="A119:A122"/>
    <mergeCell ref="B119:F119"/>
    <mergeCell ref="B120:F120"/>
    <mergeCell ref="B121:F121"/>
    <mergeCell ref="B122:F122"/>
    <mergeCell ref="A124:A127"/>
    <mergeCell ref="B124:F124"/>
    <mergeCell ref="B125:F125"/>
    <mergeCell ref="B126:F126"/>
    <mergeCell ref="B127:F127"/>
  </mergeCells>
  <phoneticPr fontId="26" type="noConversion"/>
  <conditionalFormatting sqref="N4:N7 N9:N12 N14:N17 N19:N22 N24:N27 N29:N32 N34:N37 N39:N42 N44:N47 N49:N52 N54:N57 N59:N62 N64:N67 N69:N72 N74:N77 N79:N82 N84:N87 N89:N92 N94:N97 N99:N102 N104:N107 N109:N112 N114:N117 N119:N122 N124:N127 N129:N132 N134:N137 N139:N142 N144:N147 N149:N152 N154">
    <cfRule type="expression" dxfId="112" priority="4">
      <formula>$L4=$N4</formula>
    </cfRule>
    <cfRule type="expression" dxfId="111" priority="5">
      <formula>$L4&gt;$N4</formula>
    </cfRule>
    <cfRule type="expression" dxfId="110" priority="8">
      <formula>$L4&lt;$N4</formula>
    </cfRule>
  </conditionalFormatting>
  <conditionalFormatting sqref="T4:T7 T9:T12 T14:T17 T19:T22 T24:T27 T29:T32 T34:T37 T39:T42 T44:T47 T49:T52 T54:T57 T59:T62 T64:T67 T69:T72 T74:T77 T79:T82 T84:T87 T89:T92 T94:T97 T99:T102 T104:T107 T109:T112 T114:T117 T119:T122 T124:T127 T129:T132 T134:T137 T139:T142 T144:T147 T149:T152 T154">
    <cfRule type="expression" dxfId="109" priority="1">
      <formula>$R4=$T4</formula>
    </cfRule>
    <cfRule type="expression" dxfId="108" priority="2">
      <formula>$R4&gt;$T4</formula>
    </cfRule>
    <cfRule type="expression" dxfId="107" priority="3">
      <formula>$R4&lt;$T4</formula>
    </cfRule>
  </conditionalFormatting>
  <pageMargins left="0.7" right="0.7" top="0.75" bottom="0.75" header="0.3" footer="0.3"/>
  <pageSetup paperSize="9" scale="45" fitToWidth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</sheetPr>
  <dimension ref="A1:I880"/>
  <sheetViews>
    <sheetView topLeftCell="A20" workbookViewId="0">
      <selection activeCell="A30" sqref="A30"/>
    </sheetView>
  </sheetViews>
  <sheetFormatPr defaultRowHeight="15" x14ac:dyDescent="0.25"/>
  <cols>
    <col min="1" max="1" width="76.140625" bestFit="1" customWidth="1"/>
    <col min="2" max="2" width="30.42578125" bestFit="1" customWidth="1"/>
    <col min="3" max="3" width="20.42578125" customWidth="1"/>
    <col min="4" max="4" width="30.42578125" customWidth="1"/>
    <col min="5" max="5" width="10.42578125" customWidth="1"/>
    <col min="6" max="6" width="10.85546875" customWidth="1"/>
    <col min="7" max="8" width="30.42578125" customWidth="1"/>
    <col min="9" max="9" width="16.5703125" customWidth="1"/>
  </cols>
  <sheetData>
    <row r="1" spans="1:9" x14ac:dyDescent="0.25">
      <c r="A1" t="s">
        <v>46</v>
      </c>
      <c r="B1" t="s">
        <v>978</v>
      </c>
      <c r="C1" t="s">
        <v>979</v>
      </c>
      <c r="D1" t="s">
        <v>10</v>
      </c>
      <c r="E1" t="s">
        <v>11</v>
      </c>
      <c r="F1" t="s">
        <v>980</v>
      </c>
      <c r="G1" t="s">
        <v>286</v>
      </c>
      <c r="H1" t="s">
        <v>981</v>
      </c>
      <c r="I1" t="s">
        <v>982</v>
      </c>
    </row>
    <row r="2" spans="1:9" x14ac:dyDescent="0.25">
      <c r="A2" s="230" t="s">
        <v>50</v>
      </c>
      <c r="B2" s="213" t="s">
        <v>51</v>
      </c>
      <c r="C2" s="202" t="s">
        <v>983</v>
      </c>
      <c r="D2" s="307" t="s">
        <v>52</v>
      </c>
      <c r="E2" s="307" t="s">
        <v>52</v>
      </c>
      <c r="F2" s="280" t="s">
        <v>52</v>
      </c>
      <c r="G2" s="197"/>
      <c r="H2" s="197" t="s">
        <v>53</v>
      </c>
      <c r="I2" s="198"/>
    </row>
    <row r="3" spans="1:9" x14ac:dyDescent="0.25">
      <c r="A3" s="230" t="s">
        <v>56</v>
      </c>
      <c r="B3" s="224" t="s">
        <v>57</v>
      </c>
      <c r="C3" s="202" t="s">
        <v>983</v>
      </c>
      <c r="D3" s="210" t="s">
        <v>984</v>
      </c>
      <c r="E3" s="205" t="s">
        <v>985</v>
      </c>
      <c r="F3" s="203" t="s">
        <v>985</v>
      </c>
      <c r="G3" s="197"/>
      <c r="H3" s="197" t="s">
        <v>37</v>
      </c>
      <c r="I3" s="198"/>
    </row>
    <row r="4" spans="1:9" x14ac:dyDescent="0.25">
      <c r="A4" s="199" t="s">
        <v>59</v>
      </c>
      <c r="B4" s="204" t="s">
        <v>51</v>
      </c>
      <c r="C4" s="202" t="s">
        <v>51</v>
      </c>
      <c r="D4" s="210" t="s">
        <v>984</v>
      </c>
      <c r="E4" s="205" t="s">
        <v>985</v>
      </c>
      <c r="F4" s="203" t="s">
        <v>985</v>
      </c>
      <c r="G4" s="197"/>
      <c r="H4" s="197" t="s">
        <v>35</v>
      </c>
      <c r="I4" s="198"/>
    </row>
    <row r="5" spans="1:9" s="193" customFormat="1" x14ac:dyDescent="0.25">
      <c r="A5" s="236" t="s">
        <v>61</v>
      </c>
      <c r="B5" s="266" t="s">
        <v>62</v>
      </c>
      <c r="C5" s="265" t="s">
        <v>62</v>
      </c>
      <c r="D5" s="205" t="s">
        <v>985</v>
      </c>
      <c r="E5" s="205" t="s">
        <v>985</v>
      </c>
      <c r="F5" s="203" t="s">
        <v>985</v>
      </c>
      <c r="G5" s="197"/>
      <c r="H5" s="197" t="s">
        <v>36</v>
      </c>
      <c r="I5" s="198"/>
    </row>
    <row r="6" spans="1:9" x14ac:dyDescent="0.25">
      <c r="A6" s="199" t="s">
        <v>63</v>
      </c>
      <c r="B6" s="213" t="s">
        <v>986</v>
      </c>
      <c r="C6" s="207" t="s">
        <v>986</v>
      </c>
      <c r="D6" s="281" t="s">
        <v>52</v>
      </c>
      <c r="E6" s="281" t="s">
        <v>52</v>
      </c>
      <c r="F6" s="281" t="s">
        <v>52</v>
      </c>
      <c r="G6" s="197"/>
      <c r="H6" s="197" t="s">
        <v>64</v>
      </c>
      <c r="I6" s="198"/>
    </row>
    <row r="7" spans="1:9" x14ac:dyDescent="0.25">
      <c r="A7" s="199" t="s">
        <v>65</v>
      </c>
      <c r="B7" s="209" t="s">
        <v>66</v>
      </c>
      <c r="C7" s="207"/>
      <c r="D7" s="205" t="s">
        <v>985</v>
      </c>
      <c r="E7" s="210" t="s">
        <v>52</v>
      </c>
      <c r="F7" s="197" t="s">
        <v>987</v>
      </c>
      <c r="G7" s="197"/>
      <c r="H7" s="197" t="s">
        <v>30</v>
      </c>
      <c r="I7" s="198"/>
    </row>
    <row r="8" spans="1:9" s="323" customFormat="1" x14ac:dyDescent="0.25">
      <c r="A8" s="316" t="s">
        <v>67</v>
      </c>
      <c r="B8" s="317" t="s">
        <v>66</v>
      </c>
      <c r="C8" s="318"/>
      <c r="D8" s="319" t="s">
        <v>985</v>
      </c>
      <c r="E8" s="320" t="s">
        <v>52</v>
      </c>
      <c r="F8" s="321"/>
      <c r="G8" s="321"/>
      <c r="H8" s="321" t="s">
        <v>30</v>
      </c>
      <c r="I8" s="322"/>
    </row>
    <row r="9" spans="1:9" x14ac:dyDescent="0.25">
      <c r="A9" s="286" t="s">
        <v>988</v>
      </c>
      <c r="B9" s="257"/>
      <c r="C9" s="202" t="s">
        <v>51</v>
      </c>
      <c r="D9" s="257"/>
      <c r="E9" s="257"/>
      <c r="F9" s="203" t="s">
        <v>985</v>
      </c>
      <c r="G9" s="197"/>
      <c r="H9" s="197" t="s">
        <v>30</v>
      </c>
      <c r="I9" s="198"/>
    </row>
    <row r="10" spans="1:9" x14ac:dyDescent="0.25">
      <c r="A10" s="199" t="s">
        <v>68</v>
      </c>
      <c r="B10" s="204" t="s">
        <v>51</v>
      </c>
      <c r="C10" s="207"/>
      <c r="D10" s="210" t="s">
        <v>984</v>
      </c>
      <c r="E10" s="205" t="s">
        <v>985</v>
      </c>
      <c r="F10" s="197" t="s">
        <v>987</v>
      </c>
      <c r="G10" s="197"/>
      <c r="H10" s="197" t="s">
        <v>30</v>
      </c>
      <c r="I10" s="198"/>
    </row>
    <row r="11" spans="1:9" x14ac:dyDescent="0.25">
      <c r="A11" s="199" t="s">
        <v>69</v>
      </c>
      <c r="B11" s="209" t="s">
        <v>51</v>
      </c>
      <c r="C11" s="202" t="s">
        <v>51</v>
      </c>
      <c r="D11" s="205" t="s">
        <v>985</v>
      </c>
      <c r="E11" s="210" t="s">
        <v>52</v>
      </c>
      <c r="F11" s="203" t="s">
        <v>985</v>
      </c>
      <c r="G11" s="197"/>
      <c r="H11" s="197" t="s">
        <v>30</v>
      </c>
      <c r="I11" s="198"/>
    </row>
    <row r="12" spans="1:9" x14ac:dyDescent="0.25">
      <c r="A12" s="199" t="s">
        <v>70</v>
      </c>
      <c r="B12" s="209" t="s">
        <v>51</v>
      </c>
      <c r="C12" s="207"/>
      <c r="D12" s="205" t="s">
        <v>985</v>
      </c>
      <c r="E12" s="210" t="s">
        <v>52</v>
      </c>
      <c r="F12" s="197" t="s">
        <v>987</v>
      </c>
      <c r="G12" s="197"/>
      <c r="H12" s="197" t="s">
        <v>30</v>
      </c>
      <c r="I12" s="198"/>
    </row>
    <row r="13" spans="1:9" x14ac:dyDescent="0.25">
      <c r="A13" s="199" t="s">
        <v>71</v>
      </c>
      <c r="B13" s="300" t="s">
        <v>72</v>
      </c>
      <c r="C13" s="212" t="s">
        <v>72</v>
      </c>
      <c r="D13" s="205" t="s">
        <v>985</v>
      </c>
      <c r="E13" s="205" t="s">
        <v>985</v>
      </c>
      <c r="F13" s="203" t="s">
        <v>985</v>
      </c>
      <c r="G13" s="197" t="s">
        <v>985</v>
      </c>
      <c r="H13" s="197" t="s">
        <v>30</v>
      </c>
      <c r="I13" s="198"/>
    </row>
    <row r="14" spans="1:9" x14ac:dyDescent="0.25">
      <c r="A14" s="199" t="s">
        <v>73</v>
      </c>
      <c r="B14" s="204" t="s">
        <v>51</v>
      </c>
      <c r="C14" s="202" t="s">
        <v>51</v>
      </c>
      <c r="D14" s="210" t="s">
        <v>984</v>
      </c>
      <c r="E14" s="205" t="s">
        <v>985</v>
      </c>
      <c r="F14" s="203" t="s">
        <v>985</v>
      </c>
      <c r="G14" s="197"/>
      <c r="H14" s="197" t="s">
        <v>35</v>
      </c>
      <c r="I14" s="198"/>
    </row>
    <row r="15" spans="1:9" x14ac:dyDescent="0.25">
      <c r="A15" s="199" t="s">
        <v>74</v>
      </c>
      <c r="B15" s="213" t="s">
        <v>51</v>
      </c>
      <c r="C15" s="226" t="s">
        <v>989</v>
      </c>
      <c r="D15" s="281" t="s">
        <v>52</v>
      </c>
      <c r="E15" s="281" t="s">
        <v>52</v>
      </c>
      <c r="F15" s="281" t="s">
        <v>52</v>
      </c>
      <c r="G15" s="197"/>
      <c r="H15" s="197" t="s">
        <v>75</v>
      </c>
      <c r="I15" s="198"/>
    </row>
    <row r="16" spans="1:9" x14ac:dyDescent="0.25">
      <c r="A16" s="199" t="s">
        <v>77</v>
      </c>
      <c r="B16" s="213" t="s">
        <v>57</v>
      </c>
      <c r="C16" s="202" t="s">
        <v>983</v>
      </c>
      <c r="D16" s="205" t="s">
        <v>985</v>
      </c>
      <c r="E16" s="205" t="s">
        <v>985</v>
      </c>
      <c r="F16" s="203" t="s">
        <v>985</v>
      </c>
      <c r="G16" s="197"/>
      <c r="H16" s="197" t="s">
        <v>78</v>
      </c>
      <c r="I16" s="198"/>
    </row>
    <row r="17" spans="1:9" x14ac:dyDescent="0.25">
      <c r="A17" s="199" t="s">
        <v>79</v>
      </c>
      <c r="B17" s="213" t="s">
        <v>51</v>
      </c>
      <c r="C17" s="207"/>
      <c r="D17" s="281" t="s">
        <v>52</v>
      </c>
      <c r="E17" s="281" t="s">
        <v>52</v>
      </c>
      <c r="F17" s="281" t="s">
        <v>52</v>
      </c>
      <c r="G17" s="197"/>
      <c r="H17" s="197" t="s">
        <v>80</v>
      </c>
      <c r="I17" s="198"/>
    </row>
    <row r="18" spans="1:9" x14ac:dyDescent="0.25">
      <c r="A18" s="199" t="s">
        <v>82</v>
      </c>
      <c r="B18" s="214" t="s">
        <v>57</v>
      </c>
      <c r="C18" s="215" t="s">
        <v>983</v>
      </c>
      <c r="D18" s="205" t="s">
        <v>985</v>
      </c>
      <c r="E18" s="205" t="s">
        <v>985</v>
      </c>
      <c r="F18" s="203" t="s">
        <v>985</v>
      </c>
      <c r="G18" s="197"/>
      <c r="H18" s="197" t="s">
        <v>83</v>
      </c>
      <c r="I18" s="198"/>
    </row>
    <row r="19" spans="1:9" x14ac:dyDescent="0.25">
      <c r="A19" s="199" t="s">
        <v>84</v>
      </c>
      <c r="B19" s="213" t="s">
        <v>57</v>
      </c>
      <c r="C19" s="207"/>
      <c r="D19" s="281" t="s">
        <v>52</v>
      </c>
      <c r="E19" s="281" t="s">
        <v>52</v>
      </c>
      <c r="F19" s="281" t="s">
        <v>52</v>
      </c>
      <c r="G19" s="197"/>
      <c r="H19" s="197" t="s">
        <v>75</v>
      </c>
      <c r="I19" s="198"/>
    </row>
    <row r="20" spans="1:9" x14ac:dyDescent="0.25">
      <c r="A20" s="236" t="s">
        <v>86</v>
      </c>
      <c r="B20" s="237" t="s">
        <v>62</v>
      </c>
      <c r="C20" s="234" t="s">
        <v>62</v>
      </c>
      <c r="D20" s="205" t="s">
        <v>985</v>
      </c>
      <c r="E20" s="205" t="s">
        <v>985</v>
      </c>
      <c r="F20" s="203" t="s">
        <v>985</v>
      </c>
      <c r="G20" s="197"/>
      <c r="H20" s="197" t="s">
        <v>29</v>
      </c>
      <c r="I20" s="198"/>
    </row>
    <row r="21" spans="1:9" x14ac:dyDescent="0.25">
      <c r="A21" s="199" t="s">
        <v>88</v>
      </c>
      <c r="B21" s="214" t="s">
        <v>89</v>
      </c>
      <c r="C21" s="309" t="s">
        <v>989</v>
      </c>
      <c r="D21" s="281" t="s">
        <v>52</v>
      </c>
      <c r="E21" s="281" t="s">
        <v>52</v>
      </c>
      <c r="F21" s="281" t="s">
        <v>52</v>
      </c>
      <c r="G21" s="197"/>
      <c r="H21" s="197" t="s">
        <v>75</v>
      </c>
      <c r="I21" s="198"/>
    </row>
    <row r="22" spans="1:9" x14ac:dyDescent="0.25">
      <c r="A22" s="199" t="s">
        <v>91</v>
      </c>
      <c r="B22" s="213" t="s">
        <v>51</v>
      </c>
      <c r="C22" s="207"/>
      <c r="D22" s="205" t="s">
        <v>985</v>
      </c>
      <c r="E22" s="205" t="s">
        <v>985</v>
      </c>
      <c r="F22" s="197" t="s">
        <v>987</v>
      </c>
      <c r="G22" s="197"/>
      <c r="H22" s="197" t="s">
        <v>92</v>
      </c>
      <c r="I22" s="198"/>
    </row>
    <row r="23" spans="1:9" x14ac:dyDescent="0.25">
      <c r="A23" s="199" t="s">
        <v>94</v>
      </c>
      <c r="B23" s="213" t="s">
        <v>51</v>
      </c>
      <c r="C23" s="202" t="s">
        <v>983</v>
      </c>
      <c r="D23" s="205" t="s">
        <v>985</v>
      </c>
      <c r="E23" s="205" t="s">
        <v>985</v>
      </c>
      <c r="F23" s="203" t="s">
        <v>985</v>
      </c>
      <c r="G23" s="197"/>
      <c r="H23" s="197" t="s">
        <v>95</v>
      </c>
      <c r="I23" s="198"/>
    </row>
    <row r="24" spans="1:9" x14ac:dyDescent="0.25">
      <c r="A24" s="216" t="s">
        <v>96</v>
      </c>
      <c r="B24" s="220" t="s">
        <v>97</v>
      </c>
      <c r="C24" s="207"/>
      <c r="D24" s="205" t="s">
        <v>985</v>
      </c>
      <c r="E24" s="205" t="s">
        <v>985</v>
      </c>
      <c r="F24" s="197" t="s">
        <v>987</v>
      </c>
      <c r="G24" s="197"/>
      <c r="H24" s="197" t="s">
        <v>78</v>
      </c>
      <c r="I24" s="198"/>
    </row>
    <row r="25" spans="1:9" x14ac:dyDescent="0.25">
      <c r="A25" s="236" t="s">
        <v>98</v>
      </c>
      <c r="B25" s="266" t="s">
        <v>62</v>
      </c>
      <c r="C25" s="265" t="s">
        <v>62</v>
      </c>
      <c r="D25" s="205" t="s">
        <v>985</v>
      </c>
      <c r="E25" s="205" t="s">
        <v>985</v>
      </c>
      <c r="F25" s="203" t="s">
        <v>985</v>
      </c>
      <c r="G25" s="197"/>
      <c r="H25" s="197" t="s">
        <v>31</v>
      </c>
      <c r="I25" s="198"/>
    </row>
    <row r="26" spans="1:9" x14ac:dyDescent="0.25">
      <c r="A26" s="236" t="s">
        <v>99</v>
      </c>
      <c r="B26" s="237" t="s">
        <v>62</v>
      </c>
      <c r="C26" s="234" t="s">
        <v>62</v>
      </c>
      <c r="D26" s="205" t="s">
        <v>985</v>
      </c>
      <c r="E26" s="205" t="s">
        <v>985</v>
      </c>
      <c r="F26" s="203" t="s">
        <v>985</v>
      </c>
      <c r="G26" s="197"/>
      <c r="H26" s="197" t="s">
        <v>29</v>
      </c>
      <c r="I26" s="198"/>
    </row>
    <row r="27" spans="1:9" x14ac:dyDescent="0.25">
      <c r="A27" s="236" t="s">
        <v>101</v>
      </c>
      <c r="B27" s="266" t="s">
        <v>62</v>
      </c>
      <c r="C27" s="265" t="s">
        <v>62</v>
      </c>
      <c r="D27" s="205" t="s">
        <v>985</v>
      </c>
      <c r="E27" s="205" t="s">
        <v>985</v>
      </c>
      <c r="F27" s="203" t="s">
        <v>985</v>
      </c>
      <c r="G27" s="197"/>
      <c r="H27" s="197" t="s">
        <v>36</v>
      </c>
      <c r="I27" s="198"/>
    </row>
    <row r="28" spans="1:9" x14ac:dyDescent="0.25">
      <c r="A28" s="216" t="s">
        <v>102</v>
      </c>
      <c r="B28" s="213" t="s">
        <v>51</v>
      </c>
      <c r="C28" s="202" t="s">
        <v>51</v>
      </c>
      <c r="D28" s="205" t="s">
        <v>985</v>
      </c>
      <c r="E28" s="205" t="s">
        <v>985</v>
      </c>
      <c r="F28" s="203" t="s">
        <v>985</v>
      </c>
      <c r="G28" s="197"/>
      <c r="H28" s="197" t="s">
        <v>27</v>
      </c>
      <c r="I28" s="198"/>
    </row>
    <row r="29" spans="1:9" x14ac:dyDescent="0.25">
      <c r="A29" s="216" t="s">
        <v>103</v>
      </c>
      <c r="B29" s="213" t="s">
        <v>51</v>
      </c>
      <c r="C29" s="202" t="s">
        <v>51</v>
      </c>
      <c r="D29" s="205" t="s">
        <v>985</v>
      </c>
      <c r="E29" s="205" t="s">
        <v>985</v>
      </c>
      <c r="F29" s="203" t="s">
        <v>985</v>
      </c>
      <c r="G29" s="197"/>
      <c r="H29" s="197" t="s">
        <v>35</v>
      </c>
      <c r="I29" s="198"/>
    </row>
    <row r="30" spans="1:9" x14ac:dyDescent="0.25">
      <c r="A30" s="236" t="s">
        <v>104</v>
      </c>
      <c r="B30" s="237" t="s">
        <v>105</v>
      </c>
      <c r="C30" s="234" t="s">
        <v>105</v>
      </c>
      <c r="D30" s="205" t="s">
        <v>985</v>
      </c>
      <c r="E30" s="205" t="s">
        <v>985</v>
      </c>
      <c r="F30" s="203" t="s">
        <v>985</v>
      </c>
      <c r="G30" s="197"/>
      <c r="H30" s="197" t="s">
        <v>28</v>
      </c>
      <c r="I30" s="198"/>
    </row>
    <row r="31" spans="1:9" x14ac:dyDescent="0.25">
      <c r="A31" s="236" t="s">
        <v>106</v>
      </c>
      <c r="B31" s="237" t="s">
        <v>62</v>
      </c>
      <c r="C31" s="234" t="s">
        <v>62</v>
      </c>
      <c r="D31" s="205" t="s">
        <v>985</v>
      </c>
      <c r="E31" s="205" t="s">
        <v>985</v>
      </c>
      <c r="F31" s="203" t="s">
        <v>985</v>
      </c>
      <c r="G31" s="197"/>
      <c r="H31" s="197" t="s">
        <v>29</v>
      </c>
      <c r="I31" s="198"/>
    </row>
    <row r="32" spans="1:9" x14ac:dyDescent="0.25">
      <c r="A32" s="216" t="s">
        <v>107</v>
      </c>
      <c r="B32" s="204" t="s">
        <v>51</v>
      </c>
      <c r="C32" s="207"/>
      <c r="D32" s="210" t="s">
        <v>984</v>
      </c>
      <c r="E32" s="205" t="s">
        <v>985</v>
      </c>
      <c r="F32" s="197" t="s">
        <v>987</v>
      </c>
      <c r="G32" s="197"/>
      <c r="H32" s="197" t="s">
        <v>92</v>
      </c>
      <c r="I32" s="198"/>
    </row>
    <row r="33" spans="1:9" x14ac:dyDescent="0.25">
      <c r="A33" s="236" t="s">
        <v>108</v>
      </c>
      <c r="B33" s="237" t="s">
        <v>62</v>
      </c>
      <c r="C33" s="234" t="s">
        <v>62</v>
      </c>
      <c r="D33" s="205" t="s">
        <v>985</v>
      </c>
      <c r="E33" s="205" t="s">
        <v>985</v>
      </c>
      <c r="F33" s="203" t="s">
        <v>985</v>
      </c>
      <c r="G33" s="197"/>
      <c r="H33" s="197" t="s">
        <v>27</v>
      </c>
      <c r="I33" s="198"/>
    </row>
    <row r="34" spans="1:9" x14ac:dyDescent="0.25">
      <c r="A34" s="216" t="s">
        <v>109</v>
      </c>
      <c r="B34" s="213" t="s">
        <v>110</v>
      </c>
      <c r="C34" s="202" t="s">
        <v>286</v>
      </c>
      <c r="D34" s="205" t="s">
        <v>985</v>
      </c>
      <c r="E34" s="205" t="s">
        <v>985</v>
      </c>
      <c r="F34" s="203" t="s">
        <v>985</v>
      </c>
      <c r="G34" s="197" t="s">
        <v>985</v>
      </c>
      <c r="H34" s="197" t="s">
        <v>83</v>
      </c>
      <c r="I34" s="198"/>
    </row>
    <row r="35" spans="1:9" x14ac:dyDescent="0.25">
      <c r="A35" s="236" t="s">
        <v>111</v>
      </c>
      <c r="B35" s="237" t="s">
        <v>62</v>
      </c>
      <c r="C35" s="207"/>
      <c r="D35" s="205" t="s">
        <v>985</v>
      </c>
      <c r="E35" s="205" t="s">
        <v>985</v>
      </c>
      <c r="F35" s="197" t="s">
        <v>987</v>
      </c>
      <c r="G35" s="197"/>
      <c r="H35" s="197" t="s">
        <v>38</v>
      </c>
      <c r="I35" s="198"/>
    </row>
    <row r="36" spans="1:9" s="193" customFormat="1" x14ac:dyDescent="0.25">
      <c r="A36" s="236" t="s">
        <v>112</v>
      </c>
      <c r="B36" s="237" t="s">
        <v>62</v>
      </c>
      <c r="C36" s="234" t="s">
        <v>62</v>
      </c>
      <c r="D36" s="205" t="s">
        <v>985</v>
      </c>
      <c r="E36" s="205" t="s">
        <v>985</v>
      </c>
      <c r="F36" s="203" t="s">
        <v>985</v>
      </c>
      <c r="G36" s="197"/>
      <c r="H36" s="197" t="s">
        <v>29</v>
      </c>
      <c r="I36" s="198"/>
    </row>
    <row r="37" spans="1:9" x14ac:dyDescent="0.25">
      <c r="A37" s="216" t="s">
        <v>990</v>
      </c>
      <c r="B37" s="213" t="s">
        <v>51</v>
      </c>
      <c r="C37" s="202" t="s">
        <v>51</v>
      </c>
      <c r="D37" s="281" t="s">
        <v>52</v>
      </c>
      <c r="E37" s="281" t="s">
        <v>52</v>
      </c>
      <c r="F37" s="281" t="s">
        <v>52</v>
      </c>
      <c r="G37" s="197"/>
      <c r="H37" s="197" t="s">
        <v>80</v>
      </c>
      <c r="I37" s="206"/>
    </row>
    <row r="38" spans="1:9" x14ac:dyDescent="0.25">
      <c r="A38" s="216" t="s">
        <v>115</v>
      </c>
      <c r="B38" s="225"/>
      <c r="C38" s="264"/>
      <c r="D38" s="205" t="s">
        <v>985</v>
      </c>
      <c r="E38" s="205" t="s">
        <v>985</v>
      </c>
      <c r="F38" s="197" t="s">
        <v>987</v>
      </c>
      <c r="G38" s="197"/>
      <c r="H38" s="197" t="s">
        <v>30</v>
      </c>
      <c r="I38" s="198"/>
    </row>
    <row r="39" spans="1:9" ht="22.5" x14ac:dyDescent="0.25">
      <c r="A39" s="199" t="s">
        <v>116</v>
      </c>
      <c r="B39" s="217" t="s">
        <v>57</v>
      </c>
      <c r="C39" s="207"/>
      <c r="D39" s="205" t="s">
        <v>985</v>
      </c>
      <c r="E39" s="210" t="s">
        <v>52</v>
      </c>
      <c r="F39" s="197" t="s">
        <v>987</v>
      </c>
      <c r="G39" s="197"/>
      <c r="H39" s="197" t="s">
        <v>83</v>
      </c>
      <c r="I39" s="218" t="s">
        <v>233</v>
      </c>
    </row>
    <row r="40" spans="1:9" x14ac:dyDescent="0.25">
      <c r="A40" s="216" t="s">
        <v>117</v>
      </c>
      <c r="B40" s="217" t="s">
        <v>57</v>
      </c>
      <c r="C40" s="207"/>
      <c r="D40" s="205" t="s">
        <v>985</v>
      </c>
      <c r="E40" s="210" t="s">
        <v>52</v>
      </c>
      <c r="F40" s="197" t="s">
        <v>987</v>
      </c>
      <c r="G40" s="197"/>
      <c r="H40" s="197" t="s">
        <v>83</v>
      </c>
      <c r="I40" s="219" t="s">
        <v>991</v>
      </c>
    </row>
    <row r="41" spans="1:9" x14ac:dyDescent="0.25">
      <c r="A41" s="208" t="s">
        <v>118</v>
      </c>
      <c r="B41" s="223" t="s">
        <v>119</v>
      </c>
      <c r="C41" s="207"/>
      <c r="D41" s="205" t="s">
        <v>985</v>
      </c>
      <c r="E41" s="205" t="s">
        <v>985</v>
      </c>
      <c r="F41" s="197" t="s">
        <v>987</v>
      </c>
      <c r="G41" s="197" t="s">
        <v>985</v>
      </c>
      <c r="H41" s="197" t="s">
        <v>95</v>
      </c>
      <c r="I41" s="198"/>
    </row>
    <row r="42" spans="1:9" x14ac:dyDescent="0.25">
      <c r="A42" s="199" t="s">
        <v>120</v>
      </c>
      <c r="B42" s="204" t="s">
        <v>51</v>
      </c>
      <c r="C42" s="202" t="s">
        <v>983</v>
      </c>
      <c r="D42" s="210" t="s">
        <v>984</v>
      </c>
      <c r="E42" s="205" t="s">
        <v>985</v>
      </c>
      <c r="F42" s="203" t="s">
        <v>985</v>
      </c>
      <c r="G42" s="197"/>
      <c r="H42" s="197" t="s">
        <v>121</v>
      </c>
      <c r="I42" s="198"/>
    </row>
    <row r="43" spans="1:9" x14ac:dyDescent="0.25">
      <c r="A43" s="222" t="s">
        <v>122</v>
      </c>
      <c r="B43" s="204" t="s">
        <v>51</v>
      </c>
      <c r="C43" s="202" t="s">
        <v>983</v>
      </c>
      <c r="D43" s="210" t="s">
        <v>984</v>
      </c>
      <c r="E43" s="205" t="s">
        <v>985</v>
      </c>
      <c r="F43" s="203" t="s">
        <v>985</v>
      </c>
      <c r="G43" s="197"/>
      <c r="H43" s="197" t="s">
        <v>123</v>
      </c>
      <c r="I43" s="198"/>
    </row>
    <row r="44" spans="1:9" x14ac:dyDescent="0.25">
      <c r="A44" s="199" t="s">
        <v>124</v>
      </c>
      <c r="B44" s="204" t="s">
        <v>51</v>
      </c>
      <c r="C44" s="202" t="s">
        <v>983</v>
      </c>
      <c r="D44" s="205" t="s">
        <v>985</v>
      </c>
      <c r="E44" s="205" t="s">
        <v>985</v>
      </c>
      <c r="F44" s="203" t="s">
        <v>985</v>
      </c>
      <c r="G44" s="197"/>
      <c r="H44" s="197" t="s">
        <v>125</v>
      </c>
      <c r="I44" s="198"/>
    </row>
    <row r="45" spans="1:9" x14ac:dyDescent="0.25">
      <c r="A45" s="236" t="s">
        <v>126</v>
      </c>
      <c r="B45" s="266" t="s">
        <v>62</v>
      </c>
      <c r="C45" s="265" t="s">
        <v>62</v>
      </c>
      <c r="D45" s="205" t="s">
        <v>985</v>
      </c>
      <c r="E45" s="205" t="s">
        <v>985</v>
      </c>
      <c r="F45" s="203" t="s">
        <v>985</v>
      </c>
      <c r="G45" s="197"/>
      <c r="H45" s="197" t="s">
        <v>31</v>
      </c>
      <c r="I45" s="198"/>
    </row>
    <row r="46" spans="1:9" x14ac:dyDescent="0.25">
      <c r="A46" s="216" t="s">
        <v>127</v>
      </c>
      <c r="B46" s="213" t="s">
        <v>51</v>
      </c>
      <c r="C46" s="202" t="s">
        <v>51</v>
      </c>
      <c r="D46" s="205" t="s">
        <v>985</v>
      </c>
      <c r="E46" s="205" t="s">
        <v>985</v>
      </c>
      <c r="F46" s="203" t="s">
        <v>985</v>
      </c>
      <c r="G46" s="197"/>
      <c r="H46" s="197" t="s">
        <v>27</v>
      </c>
      <c r="I46" s="198"/>
    </row>
    <row r="47" spans="1:9" x14ac:dyDescent="0.25">
      <c r="A47" s="216" t="s">
        <v>128</v>
      </c>
      <c r="B47" s="200" t="s">
        <v>57</v>
      </c>
      <c r="C47" s="207"/>
      <c r="D47" s="205" t="s">
        <v>985</v>
      </c>
      <c r="E47" s="205" t="s">
        <v>985</v>
      </c>
      <c r="F47" s="197" t="s">
        <v>987</v>
      </c>
      <c r="G47" s="197"/>
      <c r="H47" s="197" t="s">
        <v>27</v>
      </c>
      <c r="I47" s="198"/>
    </row>
    <row r="48" spans="1:9" x14ac:dyDescent="0.25">
      <c r="A48" s="286" t="s">
        <v>992</v>
      </c>
      <c r="B48" s="213" t="s">
        <v>130</v>
      </c>
      <c r="C48" s="202" t="s">
        <v>286</v>
      </c>
      <c r="D48" s="205" t="s">
        <v>985</v>
      </c>
      <c r="E48" s="205" t="s">
        <v>985</v>
      </c>
      <c r="F48" s="203" t="s">
        <v>985</v>
      </c>
      <c r="G48" s="197"/>
      <c r="H48" s="197" t="s">
        <v>35</v>
      </c>
      <c r="I48" s="198"/>
    </row>
    <row r="49" spans="1:9" x14ac:dyDescent="0.25">
      <c r="A49" s="216" t="s">
        <v>131</v>
      </c>
      <c r="B49" s="213" t="s">
        <v>51</v>
      </c>
      <c r="C49" s="202" t="s">
        <v>51</v>
      </c>
      <c r="D49" s="205" t="s">
        <v>985</v>
      </c>
      <c r="E49" s="205" t="s">
        <v>985</v>
      </c>
      <c r="F49" s="203" t="s">
        <v>985</v>
      </c>
      <c r="G49" s="197"/>
      <c r="H49" s="197" t="s">
        <v>35</v>
      </c>
      <c r="I49" s="198"/>
    </row>
    <row r="50" spans="1:9" x14ac:dyDescent="0.25">
      <c r="A50" s="216" t="s">
        <v>132</v>
      </c>
      <c r="B50" s="242" t="s">
        <v>133</v>
      </c>
      <c r="C50" s="243" t="s">
        <v>993</v>
      </c>
      <c r="D50" s="205" t="s">
        <v>985</v>
      </c>
      <c r="E50" s="205" t="s">
        <v>985</v>
      </c>
      <c r="F50" s="203" t="s">
        <v>985</v>
      </c>
      <c r="G50" s="197" t="s">
        <v>985</v>
      </c>
      <c r="H50" s="197" t="s">
        <v>134</v>
      </c>
      <c r="I50" s="198"/>
    </row>
    <row r="51" spans="1:9" x14ac:dyDescent="0.25">
      <c r="A51" s="216" t="s">
        <v>135</v>
      </c>
      <c r="B51" s="200" t="s">
        <v>57</v>
      </c>
      <c r="C51" s="202" t="s">
        <v>983</v>
      </c>
      <c r="D51" s="205" t="s">
        <v>985</v>
      </c>
      <c r="E51" s="205" t="s">
        <v>985</v>
      </c>
      <c r="F51" s="203" t="s">
        <v>985</v>
      </c>
      <c r="G51" s="197"/>
      <c r="H51" s="197" t="s">
        <v>136</v>
      </c>
      <c r="I51" s="198"/>
    </row>
    <row r="52" spans="1:9" x14ac:dyDescent="0.25">
      <c r="A52" s="216" t="s">
        <v>137</v>
      </c>
      <c r="B52" s="227" t="s">
        <v>57</v>
      </c>
      <c r="C52" s="202" t="s">
        <v>983</v>
      </c>
      <c r="D52" s="205" t="s">
        <v>985</v>
      </c>
      <c r="E52" s="205" t="s">
        <v>985</v>
      </c>
      <c r="F52" s="203" t="s">
        <v>985</v>
      </c>
      <c r="G52" s="197"/>
      <c r="H52" s="197" t="s">
        <v>136</v>
      </c>
      <c r="I52" s="198"/>
    </row>
    <row r="53" spans="1:9" x14ac:dyDescent="0.25">
      <c r="A53" s="236" t="s">
        <v>138</v>
      </c>
      <c r="B53" s="237" t="s">
        <v>62</v>
      </c>
      <c r="C53" s="234" t="s">
        <v>62</v>
      </c>
      <c r="D53" s="205" t="s">
        <v>985</v>
      </c>
      <c r="E53" s="205" t="s">
        <v>985</v>
      </c>
      <c r="F53" s="203" t="s">
        <v>985</v>
      </c>
      <c r="G53" s="197"/>
      <c r="H53" s="197" t="s">
        <v>29</v>
      </c>
      <c r="I53" s="198"/>
    </row>
    <row r="54" spans="1:9" x14ac:dyDescent="0.25">
      <c r="A54" s="216" t="s">
        <v>139</v>
      </c>
      <c r="B54" s="227" t="s">
        <v>986</v>
      </c>
      <c r="C54" s="207"/>
      <c r="D54" s="281" t="s">
        <v>52</v>
      </c>
      <c r="E54" s="281" t="s">
        <v>52</v>
      </c>
      <c r="F54" s="281" t="s">
        <v>52</v>
      </c>
      <c r="G54" s="197"/>
      <c r="H54" s="197" t="s">
        <v>64</v>
      </c>
      <c r="I54" s="198"/>
    </row>
    <row r="55" spans="1:9" x14ac:dyDescent="0.25">
      <c r="A55" s="216" t="s">
        <v>994</v>
      </c>
      <c r="B55" s="213" t="s">
        <v>51</v>
      </c>
      <c r="C55" s="202" t="s">
        <v>983</v>
      </c>
      <c r="D55" s="281" t="s">
        <v>52</v>
      </c>
      <c r="E55" s="281" t="s">
        <v>52</v>
      </c>
      <c r="F55" s="281" t="s">
        <v>52</v>
      </c>
      <c r="G55" s="197"/>
      <c r="H55" s="197" t="s">
        <v>80</v>
      </c>
      <c r="I55" s="198"/>
    </row>
    <row r="56" spans="1:9" x14ac:dyDescent="0.25">
      <c r="A56" s="216" t="s">
        <v>141</v>
      </c>
      <c r="B56" s="221" t="s">
        <v>57</v>
      </c>
      <c r="C56" s="207"/>
      <c r="D56" s="205" t="s">
        <v>985</v>
      </c>
      <c r="E56" s="205" t="s">
        <v>985</v>
      </c>
      <c r="F56" s="197" t="s">
        <v>987</v>
      </c>
      <c r="G56" s="197"/>
      <c r="H56" s="197" t="s">
        <v>136</v>
      </c>
      <c r="I56" s="198"/>
    </row>
    <row r="57" spans="1:9" x14ac:dyDescent="0.25">
      <c r="A57" s="208" t="s">
        <v>142</v>
      </c>
      <c r="B57" s="223" t="s">
        <v>57</v>
      </c>
      <c r="C57" s="202" t="s">
        <v>51</v>
      </c>
      <c r="D57" s="205" t="s">
        <v>985</v>
      </c>
      <c r="E57" s="205" t="s">
        <v>985</v>
      </c>
      <c r="F57" s="203" t="s">
        <v>985</v>
      </c>
      <c r="G57" s="197"/>
      <c r="H57" s="197" t="s">
        <v>134</v>
      </c>
      <c r="I57" s="198"/>
    </row>
    <row r="58" spans="1:9" x14ac:dyDescent="0.25">
      <c r="A58" s="199" t="s">
        <v>143</v>
      </c>
      <c r="B58" s="211" t="s">
        <v>51</v>
      </c>
      <c r="C58" s="212" t="s">
        <v>983</v>
      </c>
      <c r="D58" s="210" t="s">
        <v>984</v>
      </c>
      <c r="E58" s="205" t="s">
        <v>985</v>
      </c>
      <c r="F58" s="203" t="s">
        <v>985</v>
      </c>
      <c r="G58" s="197"/>
      <c r="H58" s="197" t="s">
        <v>123</v>
      </c>
      <c r="I58" s="198"/>
    </row>
    <row r="59" spans="1:9" x14ac:dyDescent="0.25">
      <c r="A59" s="236" t="s">
        <v>144</v>
      </c>
      <c r="B59" s="266" t="s">
        <v>62</v>
      </c>
      <c r="C59" s="265" t="s">
        <v>62</v>
      </c>
      <c r="D59" s="205" t="s">
        <v>985</v>
      </c>
      <c r="E59" s="205" t="s">
        <v>985</v>
      </c>
      <c r="F59" s="203" t="s">
        <v>985</v>
      </c>
      <c r="G59" s="197"/>
      <c r="H59" s="197" t="s">
        <v>32</v>
      </c>
      <c r="I59" s="198"/>
    </row>
    <row r="60" spans="1:9" x14ac:dyDescent="0.25">
      <c r="A60" s="236" t="s">
        <v>145</v>
      </c>
      <c r="B60" s="266" t="s">
        <v>62</v>
      </c>
      <c r="C60" s="265" t="s">
        <v>62</v>
      </c>
      <c r="D60" s="205" t="s">
        <v>985</v>
      </c>
      <c r="E60" s="205" t="s">
        <v>985</v>
      </c>
      <c r="F60" s="203" t="s">
        <v>985</v>
      </c>
      <c r="G60" s="197"/>
      <c r="H60" s="197" t="s">
        <v>31</v>
      </c>
      <c r="I60" s="198"/>
    </row>
    <row r="61" spans="1:9" x14ac:dyDescent="0.25">
      <c r="A61" s="236" t="s">
        <v>146</v>
      </c>
      <c r="B61" s="266" t="s">
        <v>62</v>
      </c>
      <c r="C61" s="265" t="s">
        <v>62</v>
      </c>
      <c r="D61" s="205" t="s">
        <v>985</v>
      </c>
      <c r="E61" s="205" t="s">
        <v>985</v>
      </c>
      <c r="F61" s="203" t="s">
        <v>985</v>
      </c>
      <c r="G61" s="197"/>
      <c r="H61" s="197" t="s">
        <v>30</v>
      </c>
      <c r="I61" s="198"/>
    </row>
    <row r="62" spans="1:9" x14ac:dyDescent="0.25">
      <c r="A62" s="352" t="s">
        <v>995</v>
      </c>
      <c r="B62" s="266" t="s">
        <v>105</v>
      </c>
      <c r="C62" s="265" t="s">
        <v>105</v>
      </c>
      <c r="D62" s="315" t="s">
        <v>985</v>
      </c>
      <c r="E62" s="315" t="s">
        <v>985</v>
      </c>
      <c r="F62" s="203" t="s">
        <v>985</v>
      </c>
      <c r="G62" s="197"/>
      <c r="H62" s="197" t="s">
        <v>34</v>
      </c>
      <c r="I62" s="198"/>
    </row>
    <row r="63" spans="1:9" x14ac:dyDescent="0.25">
      <c r="A63" s="236" t="s">
        <v>147</v>
      </c>
      <c r="B63" s="266" t="s">
        <v>62</v>
      </c>
      <c r="C63" s="265" t="s">
        <v>62</v>
      </c>
      <c r="D63" s="205" t="s">
        <v>985</v>
      </c>
      <c r="E63" s="205" t="s">
        <v>985</v>
      </c>
      <c r="F63" s="203" t="s">
        <v>985</v>
      </c>
      <c r="G63" s="197"/>
      <c r="H63" s="197" t="s">
        <v>31</v>
      </c>
      <c r="I63" s="198"/>
    </row>
    <row r="64" spans="1:9" x14ac:dyDescent="0.25">
      <c r="A64" s="236" t="s">
        <v>148</v>
      </c>
      <c r="B64" s="266" t="s">
        <v>62</v>
      </c>
      <c r="C64" s="265" t="s">
        <v>62</v>
      </c>
      <c r="D64" s="205" t="s">
        <v>985</v>
      </c>
      <c r="E64" s="205" t="s">
        <v>985</v>
      </c>
      <c r="F64" s="203" t="s">
        <v>985</v>
      </c>
      <c r="G64" s="197"/>
      <c r="H64" s="197" t="s">
        <v>31</v>
      </c>
      <c r="I64" s="198"/>
    </row>
    <row r="65" spans="1:9" x14ac:dyDescent="0.25">
      <c r="A65" s="236" t="s">
        <v>149</v>
      </c>
      <c r="B65" s="237" t="s">
        <v>62</v>
      </c>
      <c r="C65" s="234" t="s">
        <v>62</v>
      </c>
      <c r="D65" s="205" t="s">
        <v>985</v>
      </c>
      <c r="E65" s="205" t="s">
        <v>985</v>
      </c>
      <c r="F65" s="203" t="s">
        <v>985</v>
      </c>
      <c r="G65" s="197"/>
      <c r="H65" s="197" t="s">
        <v>27</v>
      </c>
      <c r="I65" s="198"/>
    </row>
    <row r="66" spans="1:9" x14ac:dyDescent="0.25">
      <c r="A66" s="236" t="s">
        <v>150</v>
      </c>
      <c r="B66" s="237" t="s">
        <v>62</v>
      </c>
      <c r="C66" s="234" t="s">
        <v>62</v>
      </c>
      <c r="D66" s="205" t="s">
        <v>985</v>
      </c>
      <c r="E66" s="205" t="s">
        <v>985</v>
      </c>
      <c r="F66" s="203" t="s">
        <v>985</v>
      </c>
      <c r="G66" s="197"/>
      <c r="H66" s="197" t="s">
        <v>29</v>
      </c>
      <c r="I66" s="198"/>
    </row>
    <row r="67" spans="1:9" x14ac:dyDescent="0.25">
      <c r="A67" s="199" t="s">
        <v>151</v>
      </c>
      <c r="B67" s="221" t="s">
        <v>152</v>
      </c>
      <c r="C67" s="228" t="s">
        <v>996</v>
      </c>
      <c r="D67" s="205" t="s">
        <v>985</v>
      </c>
      <c r="E67" s="205" t="s">
        <v>985</v>
      </c>
      <c r="F67" s="203" t="s">
        <v>985</v>
      </c>
      <c r="G67" s="197"/>
      <c r="H67" s="197" t="s">
        <v>136</v>
      </c>
      <c r="I67" s="198"/>
    </row>
    <row r="68" spans="1:9" x14ac:dyDescent="0.25">
      <c r="A68" s="199" t="s">
        <v>153</v>
      </c>
      <c r="B68" s="221" t="s">
        <v>57</v>
      </c>
      <c r="C68" s="207"/>
      <c r="D68" s="205" t="s">
        <v>985</v>
      </c>
      <c r="E68" s="205" t="s">
        <v>985</v>
      </c>
      <c r="F68" s="197" t="s">
        <v>987</v>
      </c>
      <c r="G68" s="197"/>
      <c r="H68" s="197" t="s">
        <v>136</v>
      </c>
      <c r="I68" s="198"/>
    </row>
    <row r="69" spans="1:9" x14ac:dyDescent="0.25">
      <c r="A69" s="236" t="s">
        <v>154</v>
      </c>
      <c r="B69" s="266" t="s">
        <v>62</v>
      </c>
      <c r="C69" s="265" t="s">
        <v>62</v>
      </c>
      <c r="D69" s="205" t="s">
        <v>985</v>
      </c>
      <c r="E69" s="205" t="s">
        <v>985</v>
      </c>
      <c r="F69" s="203" t="s">
        <v>985</v>
      </c>
      <c r="G69" s="197"/>
      <c r="H69" s="197" t="s">
        <v>32</v>
      </c>
      <c r="I69" s="198"/>
    </row>
    <row r="70" spans="1:9" x14ac:dyDescent="0.25">
      <c r="A70" s="267" t="s">
        <v>155</v>
      </c>
      <c r="B70" s="217" t="s">
        <v>156</v>
      </c>
      <c r="C70" s="207"/>
      <c r="D70" s="205" t="s">
        <v>985</v>
      </c>
      <c r="E70" s="210" t="s">
        <v>52</v>
      </c>
      <c r="F70" s="197" t="s">
        <v>987</v>
      </c>
      <c r="G70" s="197"/>
      <c r="H70" s="197" t="s">
        <v>30</v>
      </c>
      <c r="I70" s="198"/>
    </row>
    <row r="71" spans="1:9" x14ac:dyDescent="0.25">
      <c r="A71" s="236" t="s">
        <v>157</v>
      </c>
      <c r="B71" s="237" t="s">
        <v>62</v>
      </c>
      <c r="C71" s="234" t="s">
        <v>62</v>
      </c>
      <c r="D71" s="205" t="s">
        <v>985</v>
      </c>
      <c r="E71" s="205" t="s">
        <v>985</v>
      </c>
      <c r="F71" s="203" t="s">
        <v>985</v>
      </c>
      <c r="G71" s="197"/>
      <c r="H71" s="197" t="s">
        <v>29</v>
      </c>
      <c r="I71" s="198"/>
    </row>
    <row r="72" spans="1:9" x14ac:dyDescent="0.25">
      <c r="A72" s="236" t="s">
        <v>158</v>
      </c>
      <c r="B72" s="244" t="s">
        <v>159</v>
      </c>
      <c r="C72" s="245" t="s">
        <v>159</v>
      </c>
      <c r="D72" s="205" t="s">
        <v>985</v>
      </c>
      <c r="E72" s="205" t="s">
        <v>985</v>
      </c>
      <c r="F72" s="203" t="s">
        <v>985</v>
      </c>
      <c r="G72" s="197" t="s">
        <v>985</v>
      </c>
      <c r="H72" s="197" t="s">
        <v>134</v>
      </c>
      <c r="I72" s="198"/>
    </row>
    <row r="73" spans="1:9" x14ac:dyDescent="0.25">
      <c r="A73" s="199" t="s">
        <v>160</v>
      </c>
      <c r="B73" s="213" t="s">
        <v>51</v>
      </c>
      <c r="C73" s="202" t="s">
        <v>51</v>
      </c>
      <c r="D73" s="205" t="s">
        <v>985</v>
      </c>
      <c r="E73" s="205" t="s">
        <v>985</v>
      </c>
      <c r="F73" s="203" t="s">
        <v>985</v>
      </c>
      <c r="G73" s="197"/>
      <c r="H73" s="197" t="s">
        <v>35</v>
      </c>
      <c r="I73" s="198"/>
    </row>
    <row r="74" spans="1:9" x14ac:dyDescent="0.25">
      <c r="A74" s="236" t="s">
        <v>161</v>
      </c>
      <c r="B74" s="237" t="s">
        <v>105</v>
      </c>
      <c r="C74" s="234" t="s">
        <v>105</v>
      </c>
      <c r="D74" s="205" t="s">
        <v>985</v>
      </c>
      <c r="E74" s="205" t="s">
        <v>985</v>
      </c>
      <c r="F74" s="203" t="s">
        <v>985</v>
      </c>
      <c r="G74" s="197"/>
      <c r="H74" s="197" t="s">
        <v>28</v>
      </c>
      <c r="I74" s="198"/>
    </row>
    <row r="75" spans="1:9" x14ac:dyDescent="0.25">
      <c r="A75" s="199" t="s">
        <v>997</v>
      </c>
      <c r="B75" s="213" t="s">
        <v>51</v>
      </c>
      <c r="C75" s="202"/>
      <c r="D75" s="281" t="s">
        <v>52</v>
      </c>
      <c r="E75" s="281" t="s">
        <v>52</v>
      </c>
      <c r="F75" s="281" t="s">
        <v>52</v>
      </c>
      <c r="G75" s="197"/>
      <c r="H75" s="197" t="s">
        <v>53</v>
      </c>
      <c r="I75" s="198"/>
    </row>
    <row r="76" spans="1:9" x14ac:dyDescent="0.25">
      <c r="A76" s="199" t="s">
        <v>163</v>
      </c>
      <c r="B76" s="213" t="s">
        <v>164</v>
      </c>
      <c r="C76" s="207"/>
      <c r="D76" s="281" t="s">
        <v>52</v>
      </c>
      <c r="E76" s="281" t="s">
        <v>52</v>
      </c>
      <c r="F76" s="281" t="s">
        <v>52</v>
      </c>
      <c r="G76" s="197"/>
      <c r="H76" s="197" t="s">
        <v>75</v>
      </c>
      <c r="I76" s="198"/>
    </row>
    <row r="77" spans="1:9" x14ac:dyDescent="0.25">
      <c r="A77" s="199" t="s">
        <v>166</v>
      </c>
      <c r="B77" s="213" t="s">
        <v>986</v>
      </c>
      <c r="C77" s="207"/>
      <c r="D77" s="281" t="s">
        <v>52</v>
      </c>
      <c r="E77" s="281" t="s">
        <v>52</v>
      </c>
      <c r="F77" s="281" t="s">
        <v>52</v>
      </c>
      <c r="G77" s="197"/>
      <c r="H77" s="197" t="s">
        <v>64</v>
      </c>
      <c r="I77" s="219" t="s">
        <v>998</v>
      </c>
    </row>
    <row r="78" spans="1:9" ht="23.25" x14ac:dyDescent="0.25">
      <c r="A78" s="199" t="s">
        <v>167</v>
      </c>
      <c r="B78" s="204" t="s">
        <v>51</v>
      </c>
      <c r="C78" s="202" t="s">
        <v>983</v>
      </c>
      <c r="D78" s="210" t="s">
        <v>984</v>
      </c>
      <c r="E78" s="205" t="s">
        <v>985</v>
      </c>
      <c r="F78" s="203" t="s">
        <v>985</v>
      </c>
      <c r="G78" s="197"/>
      <c r="H78" s="197" t="s">
        <v>168</v>
      </c>
      <c r="I78" s="240" t="s">
        <v>267</v>
      </c>
    </row>
    <row r="79" spans="1:9" x14ac:dyDescent="0.25">
      <c r="A79" s="222" t="s">
        <v>169</v>
      </c>
      <c r="B79" s="211" t="s">
        <v>51</v>
      </c>
      <c r="C79" s="212" t="s">
        <v>983</v>
      </c>
      <c r="D79" s="205" t="s">
        <v>985</v>
      </c>
      <c r="E79" s="205" t="s">
        <v>985</v>
      </c>
      <c r="F79" s="203" t="s">
        <v>985</v>
      </c>
      <c r="G79" s="197"/>
      <c r="H79" s="197" t="s">
        <v>92</v>
      </c>
      <c r="I79" s="198"/>
    </row>
    <row r="80" spans="1:9" x14ac:dyDescent="0.25">
      <c r="A80" s="199" t="s">
        <v>170</v>
      </c>
      <c r="B80" s="224" t="s">
        <v>57</v>
      </c>
      <c r="C80" s="215" t="s">
        <v>983</v>
      </c>
      <c r="D80" s="210" t="s">
        <v>984</v>
      </c>
      <c r="E80" s="205" t="s">
        <v>985</v>
      </c>
      <c r="F80" s="203" t="s">
        <v>985</v>
      </c>
      <c r="G80" s="197"/>
      <c r="H80" s="197" t="s">
        <v>136</v>
      </c>
      <c r="I80" s="198"/>
    </row>
    <row r="81" spans="1:9" x14ac:dyDescent="0.25">
      <c r="A81" s="236" t="s">
        <v>171</v>
      </c>
      <c r="B81" s="237" t="s">
        <v>105</v>
      </c>
      <c r="C81" s="234" t="s">
        <v>105</v>
      </c>
      <c r="D81" s="205" t="s">
        <v>985</v>
      </c>
      <c r="E81" s="205" t="s">
        <v>985</v>
      </c>
      <c r="F81" s="203" t="s">
        <v>985</v>
      </c>
      <c r="G81" s="197"/>
      <c r="H81" s="197" t="s">
        <v>27</v>
      </c>
      <c r="I81" s="198"/>
    </row>
    <row r="82" spans="1:9" x14ac:dyDescent="0.25">
      <c r="A82" s="236" t="s">
        <v>172</v>
      </c>
      <c r="B82" s="237" t="s">
        <v>105</v>
      </c>
      <c r="C82" s="234" t="s">
        <v>105</v>
      </c>
      <c r="D82" s="205" t="s">
        <v>985</v>
      </c>
      <c r="E82" s="205" t="s">
        <v>985</v>
      </c>
      <c r="F82" s="203" t="s">
        <v>985</v>
      </c>
      <c r="G82" s="197"/>
      <c r="H82" s="197" t="s">
        <v>134</v>
      </c>
      <c r="I82" s="198"/>
    </row>
    <row r="83" spans="1:9" x14ac:dyDescent="0.25">
      <c r="A83" s="208" t="s">
        <v>173</v>
      </c>
      <c r="B83" s="223" t="s">
        <v>66</v>
      </c>
      <c r="C83" s="207"/>
      <c r="D83" s="205" t="s">
        <v>985</v>
      </c>
      <c r="E83" s="205" t="s">
        <v>174</v>
      </c>
      <c r="F83" s="197" t="s">
        <v>987</v>
      </c>
      <c r="G83" s="197"/>
      <c r="H83" s="197" t="s">
        <v>95</v>
      </c>
      <c r="I83" s="198"/>
    </row>
    <row r="84" spans="1:9" x14ac:dyDescent="0.25">
      <c r="A84" s="199" t="s">
        <v>175</v>
      </c>
      <c r="B84" s="213" t="s">
        <v>57</v>
      </c>
      <c r="C84" s="215" t="s">
        <v>983</v>
      </c>
      <c r="D84" s="205" t="s">
        <v>985</v>
      </c>
      <c r="E84" s="205" t="s">
        <v>985</v>
      </c>
      <c r="F84" s="203" t="s">
        <v>985</v>
      </c>
      <c r="G84" s="197"/>
      <c r="H84" s="197" t="s">
        <v>83</v>
      </c>
      <c r="I84" s="198"/>
    </row>
    <row r="85" spans="1:9" x14ac:dyDescent="0.25">
      <c r="A85" s="236" t="s">
        <v>176</v>
      </c>
      <c r="B85" s="266" t="s">
        <v>62</v>
      </c>
      <c r="C85" s="265" t="s">
        <v>62</v>
      </c>
      <c r="D85" s="205" t="s">
        <v>985</v>
      </c>
      <c r="E85" s="205" t="s">
        <v>985</v>
      </c>
      <c r="F85" s="203" t="s">
        <v>985</v>
      </c>
      <c r="G85" s="197"/>
      <c r="H85" s="197" t="s">
        <v>30</v>
      </c>
      <c r="I85" s="198"/>
    </row>
    <row r="86" spans="1:9" x14ac:dyDescent="0.25">
      <c r="A86" s="199" t="s">
        <v>177</v>
      </c>
      <c r="B86" s="213" t="s">
        <v>51</v>
      </c>
      <c r="C86" s="215" t="s">
        <v>986</v>
      </c>
      <c r="D86" s="205" t="s">
        <v>985</v>
      </c>
      <c r="E86" s="205" t="s">
        <v>985</v>
      </c>
      <c r="F86" s="203" t="s">
        <v>985</v>
      </c>
      <c r="G86" s="197"/>
      <c r="H86" s="197" t="s">
        <v>35</v>
      </c>
      <c r="I86" s="198"/>
    </row>
    <row r="87" spans="1:9" x14ac:dyDescent="0.25">
      <c r="A87" s="267" t="s">
        <v>178</v>
      </c>
      <c r="B87" s="213" t="s">
        <v>51</v>
      </c>
      <c r="C87" s="202" t="s">
        <v>983</v>
      </c>
      <c r="D87" s="205" t="s">
        <v>985</v>
      </c>
      <c r="E87" s="205" t="s">
        <v>985</v>
      </c>
      <c r="F87" s="203" t="s">
        <v>985</v>
      </c>
      <c r="G87" s="197"/>
      <c r="H87" s="197" t="s">
        <v>37</v>
      </c>
      <c r="I87" s="198"/>
    </row>
    <row r="88" spans="1:9" x14ac:dyDescent="0.25">
      <c r="A88" s="267" t="s">
        <v>180</v>
      </c>
      <c r="B88" s="213" t="s">
        <v>51</v>
      </c>
      <c r="C88" s="202" t="s">
        <v>983</v>
      </c>
      <c r="D88" s="205" t="s">
        <v>985</v>
      </c>
      <c r="E88" s="205" t="s">
        <v>985</v>
      </c>
      <c r="F88" s="203" t="s">
        <v>985</v>
      </c>
      <c r="G88" s="197"/>
      <c r="H88" s="197" t="s">
        <v>37</v>
      </c>
      <c r="I88" s="198"/>
    </row>
    <row r="89" spans="1:9" x14ac:dyDescent="0.25">
      <c r="A89" s="267" t="s">
        <v>181</v>
      </c>
      <c r="B89" s="213" t="s">
        <v>51</v>
      </c>
      <c r="C89" s="202" t="s">
        <v>983</v>
      </c>
      <c r="D89" s="205" t="s">
        <v>985</v>
      </c>
      <c r="E89" s="205" t="s">
        <v>985</v>
      </c>
      <c r="F89" s="203" t="s">
        <v>985</v>
      </c>
      <c r="G89" s="197"/>
      <c r="H89" s="197" t="s">
        <v>37</v>
      </c>
      <c r="I89" s="198"/>
    </row>
    <row r="90" spans="1:9" x14ac:dyDescent="0.25">
      <c r="A90" s="267" t="s">
        <v>182</v>
      </c>
      <c r="B90" s="213" t="s">
        <v>51</v>
      </c>
      <c r="C90" s="202" t="s">
        <v>983</v>
      </c>
      <c r="D90" s="205" t="s">
        <v>985</v>
      </c>
      <c r="E90" s="205" t="s">
        <v>985</v>
      </c>
      <c r="F90" s="203" t="s">
        <v>985</v>
      </c>
      <c r="G90" s="197"/>
      <c r="H90" s="197" t="s">
        <v>37</v>
      </c>
      <c r="I90" s="198"/>
    </row>
    <row r="91" spans="1:9" x14ac:dyDescent="0.25">
      <c r="A91" s="267" t="s">
        <v>183</v>
      </c>
      <c r="B91" s="213" t="s">
        <v>51</v>
      </c>
      <c r="C91" s="202" t="s">
        <v>983</v>
      </c>
      <c r="D91" s="205" t="s">
        <v>985</v>
      </c>
      <c r="E91" s="205" t="s">
        <v>985</v>
      </c>
      <c r="F91" s="203" t="s">
        <v>985</v>
      </c>
      <c r="G91" s="197"/>
      <c r="H91" s="197" t="s">
        <v>37</v>
      </c>
      <c r="I91" s="198"/>
    </row>
    <row r="92" spans="1:9" x14ac:dyDescent="0.25">
      <c r="A92" s="267" t="s">
        <v>184</v>
      </c>
      <c r="B92" s="213" t="s">
        <v>51</v>
      </c>
      <c r="C92" s="202" t="s">
        <v>983</v>
      </c>
      <c r="D92" s="205" t="s">
        <v>985</v>
      </c>
      <c r="E92" s="205" t="s">
        <v>985</v>
      </c>
      <c r="F92" s="203" t="s">
        <v>985</v>
      </c>
      <c r="G92" s="197"/>
      <c r="H92" s="197" t="s">
        <v>37</v>
      </c>
      <c r="I92" s="175"/>
    </row>
    <row r="93" spans="1:9" x14ac:dyDescent="0.25">
      <c r="A93" s="267" t="s">
        <v>185</v>
      </c>
      <c r="B93" s="213" t="s">
        <v>51</v>
      </c>
      <c r="C93" s="202" t="s">
        <v>983</v>
      </c>
      <c r="D93" s="205" t="s">
        <v>985</v>
      </c>
      <c r="E93" s="205" t="s">
        <v>985</v>
      </c>
      <c r="F93" s="203" t="s">
        <v>985</v>
      </c>
      <c r="G93" s="197"/>
      <c r="H93" s="197" t="s">
        <v>37</v>
      </c>
      <c r="I93" s="175"/>
    </row>
    <row r="94" spans="1:9" x14ac:dyDescent="0.25">
      <c r="A94" s="267" t="s">
        <v>186</v>
      </c>
      <c r="B94" s="213" t="s">
        <v>51</v>
      </c>
      <c r="C94" s="202" t="s">
        <v>983</v>
      </c>
      <c r="D94" s="205" t="s">
        <v>985</v>
      </c>
      <c r="E94" s="205" t="s">
        <v>985</v>
      </c>
      <c r="F94" s="203" t="s">
        <v>985</v>
      </c>
      <c r="G94" s="197"/>
      <c r="H94" s="197" t="s">
        <v>37</v>
      </c>
      <c r="I94" s="235"/>
    </row>
    <row r="95" spans="1:9" x14ac:dyDescent="0.25">
      <c r="A95" s="267" t="s">
        <v>187</v>
      </c>
      <c r="B95" s="213" t="s">
        <v>51</v>
      </c>
      <c r="C95" s="202" t="s">
        <v>983</v>
      </c>
      <c r="D95" s="205" t="s">
        <v>985</v>
      </c>
      <c r="E95" s="205" t="s">
        <v>985</v>
      </c>
      <c r="F95" s="203" t="s">
        <v>985</v>
      </c>
      <c r="G95" s="197"/>
      <c r="H95" s="197" t="s">
        <v>37</v>
      </c>
      <c r="I95" s="198"/>
    </row>
    <row r="96" spans="1:9" x14ac:dyDescent="0.25">
      <c r="A96" s="267" t="s">
        <v>188</v>
      </c>
      <c r="B96" s="213" t="s">
        <v>51</v>
      </c>
      <c r="C96" s="202" t="s">
        <v>983</v>
      </c>
      <c r="D96" s="205" t="s">
        <v>985</v>
      </c>
      <c r="E96" s="205" t="s">
        <v>985</v>
      </c>
      <c r="F96" s="203" t="s">
        <v>985</v>
      </c>
      <c r="G96" s="197"/>
      <c r="H96" s="197" t="s">
        <v>37</v>
      </c>
      <c r="I96" s="198"/>
    </row>
    <row r="97" spans="1:9" x14ac:dyDescent="0.25">
      <c r="A97" s="267" t="s">
        <v>189</v>
      </c>
      <c r="B97" s="213" t="s">
        <v>51</v>
      </c>
      <c r="C97" s="202" t="s">
        <v>983</v>
      </c>
      <c r="D97" s="205" t="s">
        <v>985</v>
      </c>
      <c r="E97" s="205" t="s">
        <v>985</v>
      </c>
      <c r="F97" s="203" t="s">
        <v>985</v>
      </c>
      <c r="G97" s="197"/>
      <c r="H97" s="197" t="s">
        <v>37</v>
      </c>
      <c r="I97" s="198"/>
    </row>
    <row r="98" spans="1:9" x14ac:dyDescent="0.25">
      <c r="A98" s="267" t="s">
        <v>190</v>
      </c>
      <c r="B98" s="213" t="s">
        <v>51</v>
      </c>
      <c r="C98" s="202" t="s">
        <v>983</v>
      </c>
      <c r="D98" s="205" t="s">
        <v>985</v>
      </c>
      <c r="E98" s="205" t="s">
        <v>985</v>
      </c>
      <c r="F98" s="203" t="s">
        <v>985</v>
      </c>
      <c r="G98" s="197"/>
      <c r="H98" s="197" t="s">
        <v>37</v>
      </c>
      <c r="I98" s="198"/>
    </row>
    <row r="99" spans="1:9" x14ac:dyDescent="0.25">
      <c r="A99" s="267" t="s">
        <v>191</v>
      </c>
      <c r="B99" s="213" t="s">
        <v>51</v>
      </c>
      <c r="C99" s="202" t="s">
        <v>983</v>
      </c>
      <c r="D99" s="205" t="s">
        <v>985</v>
      </c>
      <c r="E99" s="205" t="s">
        <v>985</v>
      </c>
      <c r="F99" s="203" t="s">
        <v>985</v>
      </c>
      <c r="G99" s="197"/>
      <c r="H99" s="197" t="s">
        <v>37</v>
      </c>
      <c r="I99" s="198"/>
    </row>
    <row r="100" spans="1:9" x14ac:dyDescent="0.25">
      <c r="A100" s="267" t="s">
        <v>192</v>
      </c>
      <c r="B100" s="213" t="s">
        <v>51</v>
      </c>
      <c r="C100" s="202" t="s">
        <v>983</v>
      </c>
      <c r="D100" s="205" t="s">
        <v>985</v>
      </c>
      <c r="E100" s="205" t="s">
        <v>985</v>
      </c>
      <c r="F100" s="203" t="s">
        <v>985</v>
      </c>
      <c r="G100" s="197"/>
      <c r="H100" s="197" t="s">
        <v>37</v>
      </c>
      <c r="I100" s="198"/>
    </row>
    <row r="101" spans="1:9" x14ac:dyDescent="0.25">
      <c r="A101" s="267" t="s">
        <v>193</v>
      </c>
      <c r="B101" s="213" t="s">
        <v>51</v>
      </c>
      <c r="C101" s="202" t="s">
        <v>983</v>
      </c>
      <c r="D101" s="205" t="s">
        <v>985</v>
      </c>
      <c r="E101" s="205" t="s">
        <v>985</v>
      </c>
      <c r="F101" s="203" t="s">
        <v>985</v>
      </c>
      <c r="G101" s="197"/>
      <c r="H101" s="197" t="s">
        <v>37</v>
      </c>
      <c r="I101" s="198"/>
    </row>
    <row r="102" spans="1:9" x14ac:dyDescent="0.25">
      <c r="A102" s="267" t="s">
        <v>194</v>
      </c>
      <c r="B102" s="213" t="s">
        <v>51</v>
      </c>
      <c r="C102" s="202" t="s">
        <v>983</v>
      </c>
      <c r="D102" s="205" t="s">
        <v>985</v>
      </c>
      <c r="E102" s="205" t="s">
        <v>985</v>
      </c>
      <c r="F102" s="203" t="s">
        <v>985</v>
      </c>
      <c r="G102" s="197"/>
      <c r="H102" s="197" t="s">
        <v>37</v>
      </c>
      <c r="I102" s="198"/>
    </row>
    <row r="103" spans="1:9" x14ac:dyDescent="0.25">
      <c r="A103" s="267" t="s">
        <v>195</v>
      </c>
      <c r="B103" s="213" t="s">
        <v>51</v>
      </c>
      <c r="C103" s="202" t="s">
        <v>983</v>
      </c>
      <c r="D103" s="205" t="s">
        <v>985</v>
      </c>
      <c r="E103" s="205" t="s">
        <v>985</v>
      </c>
      <c r="F103" s="203" t="s">
        <v>985</v>
      </c>
      <c r="G103" s="197"/>
      <c r="H103" s="197" t="s">
        <v>37</v>
      </c>
      <c r="I103" s="198"/>
    </row>
    <row r="104" spans="1:9" x14ac:dyDescent="0.25">
      <c r="A104" s="236" t="s">
        <v>196</v>
      </c>
      <c r="B104" s="266" t="s">
        <v>62</v>
      </c>
      <c r="C104" s="265" t="s">
        <v>62</v>
      </c>
      <c r="D104" s="205" t="s">
        <v>985</v>
      </c>
      <c r="E104" s="205" t="s">
        <v>985</v>
      </c>
      <c r="F104" s="203" t="s">
        <v>985</v>
      </c>
      <c r="G104" s="197"/>
      <c r="H104" s="197" t="s">
        <v>36</v>
      </c>
      <c r="I104" s="198"/>
    </row>
    <row r="105" spans="1:9" x14ac:dyDescent="0.25">
      <c r="A105" s="236" t="s">
        <v>197</v>
      </c>
      <c r="B105" s="266" t="s">
        <v>62</v>
      </c>
      <c r="C105" s="265" t="s">
        <v>62</v>
      </c>
      <c r="D105" s="205" t="s">
        <v>985</v>
      </c>
      <c r="E105" s="205" t="s">
        <v>985</v>
      </c>
      <c r="F105" s="203" t="s">
        <v>985</v>
      </c>
      <c r="G105" s="197"/>
      <c r="H105" s="197" t="s">
        <v>36</v>
      </c>
      <c r="I105" s="198"/>
    </row>
    <row r="106" spans="1:9" x14ac:dyDescent="0.25">
      <c r="A106" s="236" t="s">
        <v>198</v>
      </c>
      <c r="B106" s="237"/>
      <c r="C106" s="234" t="s">
        <v>986</v>
      </c>
      <c r="D106" s="205" t="s">
        <v>985</v>
      </c>
      <c r="E106" s="205" t="s">
        <v>985</v>
      </c>
      <c r="F106" s="203" t="s">
        <v>985</v>
      </c>
      <c r="G106" s="197"/>
      <c r="H106" s="197" t="s">
        <v>28</v>
      </c>
      <c r="I106" s="198"/>
    </row>
    <row r="107" spans="1:9" x14ac:dyDescent="0.25">
      <c r="A107" s="236" t="s">
        <v>199</v>
      </c>
      <c r="B107" s="237" t="s">
        <v>62</v>
      </c>
      <c r="C107" s="234" t="s">
        <v>62</v>
      </c>
      <c r="D107" s="205" t="s">
        <v>985</v>
      </c>
      <c r="E107" s="205" t="s">
        <v>985</v>
      </c>
      <c r="F107" s="203" t="s">
        <v>985</v>
      </c>
      <c r="G107" s="197"/>
      <c r="H107" s="197" t="s">
        <v>27</v>
      </c>
      <c r="I107" s="198"/>
    </row>
    <row r="108" spans="1:9" x14ac:dyDescent="0.25">
      <c r="A108" s="236" t="s">
        <v>200</v>
      </c>
      <c r="B108" s="237" t="s">
        <v>105</v>
      </c>
      <c r="C108" s="234" t="s">
        <v>105</v>
      </c>
      <c r="D108" s="205" t="s">
        <v>985</v>
      </c>
      <c r="E108" s="205" t="s">
        <v>985</v>
      </c>
      <c r="F108" s="203" t="s">
        <v>985</v>
      </c>
      <c r="G108" s="197"/>
      <c r="H108" s="197" t="s">
        <v>28</v>
      </c>
      <c r="I108" s="198"/>
    </row>
    <row r="109" spans="1:9" x14ac:dyDescent="0.25">
      <c r="A109" s="236" t="s">
        <v>201</v>
      </c>
      <c r="B109" s="237" t="s">
        <v>62</v>
      </c>
      <c r="C109" s="207"/>
      <c r="D109" s="205" t="s">
        <v>985</v>
      </c>
      <c r="E109" s="205" t="s">
        <v>985</v>
      </c>
      <c r="F109" s="197" t="s">
        <v>987</v>
      </c>
      <c r="G109" s="197"/>
      <c r="H109" s="197" t="s">
        <v>37</v>
      </c>
      <c r="I109" s="198"/>
    </row>
    <row r="110" spans="1:9" x14ac:dyDescent="0.25">
      <c r="A110" s="236" t="s">
        <v>202</v>
      </c>
      <c r="B110" s="266" t="s">
        <v>62</v>
      </c>
      <c r="C110" s="265" t="s">
        <v>62</v>
      </c>
      <c r="D110" s="205" t="s">
        <v>985</v>
      </c>
      <c r="E110" s="205" t="s">
        <v>985</v>
      </c>
      <c r="F110" s="203" t="s">
        <v>985</v>
      </c>
      <c r="G110" s="197"/>
      <c r="H110" s="197" t="s">
        <v>31</v>
      </c>
      <c r="I110" s="198"/>
    </row>
    <row r="111" spans="1:9" x14ac:dyDescent="0.25">
      <c r="A111" s="267" t="s">
        <v>999</v>
      </c>
      <c r="B111" s="213" t="s">
        <v>51</v>
      </c>
      <c r="C111" s="202" t="s">
        <v>983</v>
      </c>
      <c r="D111" s="281" t="s">
        <v>52</v>
      </c>
      <c r="E111" s="281" t="s">
        <v>52</v>
      </c>
      <c r="F111" s="281" t="s">
        <v>52</v>
      </c>
      <c r="G111" s="197"/>
      <c r="H111" s="197" t="s">
        <v>80</v>
      </c>
      <c r="I111" s="198"/>
    </row>
    <row r="112" spans="1:9" x14ac:dyDescent="0.25">
      <c r="A112" s="267" t="s">
        <v>204</v>
      </c>
      <c r="B112" s="213" t="s">
        <v>986</v>
      </c>
      <c r="C112" s="207"/>
      <c r="D112" s="281" t="s">
        <v>52</v>
      </c>
      <c r="E112" s="281" t="s">
        <v>52</v>
      </c>
      <c r="F112" s="281" t="s">
        <v>52</v>
      </c>
      <c r="G112" s="197"/>
      <c r="H112" s="197" t="s">
        <v>64</v>
      </c>
      <c r="I112" s="198"/>
    </row>
    <row r="113" spans="1:9" x14ac:dyDescent="0.25">
      <c r="A113" s="236" t="s">
        <v>205</v>
      </c>
      <c r="B113" s="237" t="s">
        <v>62</v>
      </c>
      <c r="C113" s="234" t="s">
        <v>62</v>
      </c>
      <c r="D113" s="205" t="s">
        <v>985</v>
      </c>
      <c r="E113" s="205" t="s">
        <v>985</v>
      </c>
      <c r="F113" s="203" t="s">
        <v>985</v>
      </c>
      <c r="G113" s="197"/>
      <c r="H113" s="197" t="s">
        <v>29</v>
      </c>
      <c r="I113" s="198"/>
    </row>
    <row r="114" spans="1:9" x14ac:dyDescent="0.25">
      <c r="A114" s="199" t="s">
        <v>206</v>
      </c>
      <c r="B114" s="213" t="s">
        <v>207</v>
      </c>
      <c r="C114" s="229" t="s">
        <v>286</v>
      </c>
      <c r="D114" s="205" t="s">
        <v>985</v>
      </c>
      <c r="E114" s="205" t="s">
        <v>985</v>
      </c>
      <c r="F114" s="203" t="s">
        <v>985</v>
      </c>
      <c r="G114" s="197"/>
      <c r="H114" s="197" t="s">
        <v>136</v>
      </c>
      <c r="I114" s="198"/>
    </row>
    <row r="115" spans="1:9" x14ac:dyDescent="0.25">
      <c r="A115" s="222" t="s">
        <v>208</v>
      </c>
      <c r="B115" s="213" t="s">
        <v>986</v>
      </c>
      <c r="C115" s="207"/>
      <c r="D115" s="281" t="s">
        <v>52</v>
      </c>
      <c r="E115" s="281" t="s">
        <v>52</v>
      </c>
      <c r="F115" s="281" t="s">
        <v>52</v>
      </c>
      <c r="G115" s="197"/>
      <c r="H115" s="197" t="s">
        <v>64</v>
      </c>
      <c r="I115" s="198"/>
    </row>
    <row r="116" spans="1:9" x14ac:dyDescent="0.25">
      <c r="A116" s="236" t="s">
        <v>209</v>
      </c>
      <c r="B116" s="237" t="s">
        <v>62</v>
      </c>
      <c r="C116" s="234" t="s">
        <v>62</v>
      </c>
      <c r="D116" s="205" t="s">
        <v>985</v>
      </c>
      <c r="E116" s="205" t="s">
        <v>985</v>
      </c>
      <c r="F116" s="203" t="s">
        <v>985</v>
      </c>
      <c r="G116" s="197"/>
      <c r="H116" s="197" t="s">
        <v>29</v>
      </c>
      <c r="I116" s="198"/>
    </row>
    <row r="117" spans="1:9" x14ac:dyDescent="0.25">
      <c r="A117" s="199" t="s">
        <v>210</v>
      </c>
      <c r="B117" s="213" t="s">
        <v>986</v>
      </c>
      <c r="C117" s="207"/>
      <c r="D117" s="281" t="s">
        <v>52</v>
      </c>
      <c r="E117" s="281" t="s">
        <v>52</v>
      </c>
      <c r="F117" s="281" t="s">
        <v>52</v>
      </c>
      <c r="G117" s="197"/>
      <c r="H117" s="197" t="s">
        <v>64</v>
      </c>
      <c r="I117" s="198"/>
    </row>
    <row r="118" spans="1:9" x14ac:dyDescent="0.25">
      <c r="A118" s="236" t="s">
        <v>211</v>
      </c>
      <c r="B118" s="266" t="s">
        <v>62</v>
      </c>
      <c r="C118" s="265" t="s">
        <v>62</v>
      </c>
      <c r="D118" s="205" t="s">
        <v>985</v>
      </c>
      <c r="E118" s="205" t="s">
        <v>985</v>
      </c>
      <c r="F118" s="203" t="s">
        <v>985</v>
      </c>
      <c r="G118" s="197"/>
      <c r="H118" s="197" t="s">
        <v>31</v>
      </c>
      <c r="I118" s="198"/>
    </row>
    <row r="119" spans="1:9" x14ac:dyDescent="0.25">
      <c r="A119" s="236" t="s">
        <v>212</v>
      </c>
      <c r="B119" s="266" t="s">
        <v>62</v>
      </c>
      <c r="C119" s="265" t="s">
        <v>62</v>
      </c>
      <c r="D119" s="205" t="s">
        <v>985</v>
      </c>
      <c r="E119" s="205" t="s">
        <v>985</v>
      </c>
      <c r="F119" s="203" t="s">
        <v>985</v>
      </c>
      <c r="G119" s="197"/>
      <c r="H119" s="197" t="s">
        <v>31</v>
      </c>
      <c r="I119" s="198"/>
    </row>
    <row r="120" spans="1:9" x14ac:dyDescent="0.25">
      <c r="A120" s="199" t="s">
        <v>213</v>
      </c>
      <c r="B120" s="217" t="s">
        <v>57</v>
      </c>
      <c r="C120" s="202" t="s">
        <v>983</v>
      </c>
      <c r="D120" s="205" t="s">
        <v>985</v>
      </c>
      <c r="E120" s="210" t="s">
        <v>52</v>
      </c>
      <c r="F120" s="203" t="s">
        <v>985</v>
      </c>
      <c r="G120" s="197"/>
      <c r="H120" s="197" t="s">
        <v>78</v>
      </c>
      <c r="I120" s="198"/>
    </row>
    <row r="121" spans="1:9" x14ac:dyDescent="0.25">
      <c r="A121" s="236" t="s">
        <v>214</v>
      </c>
      <c r="B121" s="266" t="s">
        <v>62</v>
      </c>
      <c r="C121" s="265" t="s">
        <v>62</v>
      </c>
      <c r="D121" s="205" t="s">
        <v>985</v>
      </c>
      <c r="E121" s="205" t="s">
        <v>985</v>
      </c>
      <c r="F121" s="203" t="s">
        <v>985</v>
      </c>
      <c r="G121" s="197"/>
      <c r="H121" s="197" t="s">
        <v>36</v>
      </c>
      <c r="I121" s="198"/>
    </row>
    <row r="122" spans="1:9" x14ac:dyDescent="0.25">
      <c r="A122" s="199" t="s">
        <v>215</v>
      </c>
      <c r="B122" s="200" t="s">
        <v>57</v>
      </c>
      <c r="C122" s="215" t="s">
        <v>983</v>
      </c>
      <c r="D122" s="205" t="s">
        <v>985</v>
      </c>
      <c r="E122" s="205" t="s">
        <v>985</v>
      </c>
      <c r="F122" s="203" t="s">
        <v>985</v>
      </c>
      <c r="G122" s="197"/>
      <c r="H122" s="197" t="s">
        <v>83</v>
      </c>
      <c r="I122" s="198"/>
    </row>
    <row r="123" spans="1:9" x14ac:dyDescent="0.25">
      <c r="A123" s="236" t="s">
        <v>216</v>
      </c>
      <c r="B123" s="266" t="s">
        <v>105</v>
      </c>
      <c r="C123" s="265" t="s">
        <v>105</v>
      </c>
      <c r="D123" s="205" t="s">
        <v>985</v>
      </c>
      <c r="E123" s="205" t="s">
        <v>985</v>
      </c>
      <c r="F123" s="203" t="s">
        <v>985</v>
      </c>
      <c r="G123" s="197"/>
      <c r="H123" s="197" t="s">
        <v>34</v>
      </c>
      <c r="I123" s="198"/>
    </row>
    <row r="124" spans="1:9" x14ac:dyDescent="0.25">
      <c r="A124" s="236" t="s">
        <v>217</v>
      </c>
      <c r="B124" s="237" t="s">
        <v>105</v>
      </c>
      <c r="C124" s="234" t="s">
        <v>105</v>
      </c>
      <c r="D124" s="205" t="s">
        <v>985</v>
      </c>
      <c r="E124" s="205" t="s">
        <v>985</v>
      </c>
      <c r="F124" s="203" t="s">
        <v>985</v>
      </c>
      <c r="G124" s="197"/>
      <c r="H124" s="197" t="s">
        <v>28</v>
      </c>
      <c r="I124" s="198"/>
    </row>
    <row r="125" spans="1:9" x14ac:dyDescent="0.25">
      <c r="A125" s="236" t="s">
        <v>218</v>
      </c>
      <c r="B125" s="237" t="s">
        <v>62</v>
      </c>
      <c r="C125" s="234" t="s">
        <v>62</v>
      </c>
      <c r="D125" s="205" t="s">
        <v>985</v>
      </c>
      <c r="E125" s="205" t="s">
        <v>985</v>
      </c>
      <c r="F125" s="203" t="s">
        <v>985</v>
      </c>
      <c r="G125" s="197"/>
      <c r="H125" s="197" t="s">
        <v>29</v>
      </c>
      <c r="I125" s="198"/>
    </row>
    <row r="126" spans="1:9" x14ac:dyDescent="0.25">
      <c r="A126" s="199" t="s">
        <v>219</v>
      </c>
      <c r="B126" s="213" t="s">
        <v>51</v>
      </c>
      <c r="C126" s="202" t="s">
        <v>51</v>
      </c>
      <c r="D126" s="205" t="s">
        <v>985</v>
      </c>
      <c r="E126" s="205" t="s">
        <v>985</v>
      </c>
      <c r="F126" s="203" t="s">
        <v>985</v>
      </c>
      <c r="G126" s="197"/>
      <c r="H126" s="197" t="s">
        <v>27</v>
      </c>
      <c r="I126" s="198"/>
    </row>
    <row r="127" spans="1:9" x14ac:dyDescent="0.25">
      <c r="A127" s="199" t="s">
        <v>220</v>
      </c>
      <c r="B127" s="200" t="s">
        <v>207</v>
      </c>
      <c r="C127" s="202" t="s">
        <v>986</v>
      </c>
      <c r="D127" s="205" t="s">
        <v>985</v>
      </c>
      <c r="E127" s="205" t="s">
        <v>985</v>
      </c>
      <c r="F127" s="203" t="s">
        <v>985</v>
      </c>
      <c r="G127" s="197"/>
      <c r="H127" s="197" t="s">
        <v>35</v>
      </c>
      <c r="I127" s="175"/>
    </row>
    <row r="128" spans="1:9" x14ac:dyDescent="0.25">
      <c r="A128" s="236" t="s">
        <v>221</v>
      </c>
      <c r="B128" s="237" t="s">
        <v>62</v>
      </c>
      <c r="C128" s="234" t="s">
        <v>62</v>
      </c>
      <c r="D128" s="205" t="s">
        <v>985</v>
      </c>
      <c r="E128" s="205" t="s">
        <v>985</v>
      </c>
      <c r="F128" s="203" t="s">
        <v>985</v>
      </c>
      <c r="G128" s="197"/>
      <c r="H128" s="197" t="s">
        <v>29</v>
      </c>
      <c r="I128" s="175"/>
    </row>
    <row r="129" spans="1:9" x14ac:dyDescent="0.25">
      <c r="A129" s="236" t="s">
        <v>222</v>
      </c>
      <c r="B129" s="237" t="s">
        <v>62</v>
      </c>
      <c r="C129" s="234" t="s">
        <v>62</v>
      </c>
      <c r="D129" s="205" t="s">
        <v>985</v>
      </c>
      <c r="E129" s="205" t="s">
        <v>985</v>
      </c>
      <c r="F129" s="203" t="s">
        <v>985</v>
      </c>
      <c r="G129" s="197"/>
      <c r="H129" s="197" t="s">
        <v>29</v>
      </c>
      <c r="I129" s="235"/>
    </row>
    <row r="130" spans="1:9" x14ac:dyDescent="0.25">
      <c r="A130" s="236" t="s">
        <v>223</v>
      </c>
      <c r="B130" s="254"/>
      <c r="C130" s="254"/>
      <c r="D130" s="205" t="s">
        <v>985</v>
      </c>
      <c r="E130" s="205" t="s">
        <v>985</v>
      </c>
      <c r="F130" s="197" t="s">
        <v>987</v>
      </c>
      <c r="G130" s="197"/>
      <c r="H130" s="197" t="s">
        <v>28</v>
      </c>
      <c r="I130" s="198"/>
    </row>
    <row r="131" spans="1:9" x14ac:dyDescent="0.25">
      <c r="A131" s="236" t="s">
        <v>224</v>
      </c>
      <c r="B131" s="266" t="s">
        <v>62</v>
      </c>
      <c r="C131" s="265" t="s">
        <v>62</v>
      </c>
      <c r="D131" s="205" t="s">
        <v>985</v>
      </c>
      <c r="E131" s="205" t="s">
        <v>985</v>
      </c>
      <c r="F131" s="203" t="s">
        <v>985</v>
      </c>
      <c r="G131" s="197"/>
      <c r="H131" s="197" t="s">
        <v>33</v>
      </c>
      <c r="I131" s="198"/>
    </row>
    <row r="132" spans="1:9" x14ac:dyDescent="0.25">
      <c r="A132" s="199" t="s">
        <v>225</v>
      </c>
      <c r="B132" s="204" t="s">
        <v>51</v>
      </c>
      <c r="C132" s="202" t="s">
        <v>983</v>
      </c>
      <c r="D132" s="210" t="s">
        <v>984</v>
      </c>
      <c r="E132" s="205" t="s">
        <v>985</v>
      </c>
      <c r="F132" s="203" t="s">
        <v>985</v>
      </c>
      <c r="G132" s="197"/>
      <c r="H132" s="197" t="s">
        <v>226</v>
      </c>
      <c r="I132" s="198"/>
    </row>
    <row r="133" spans="1:9" x14ac:dyDescent="0.25">
      <c r="A133" s="199" t="s">
        <v>227</v>
      </c>
      <c r="B133" s="204" t="s">
        <v>51</v>
      </c>
      <c r="C133" s="202" t="s">
        <v>983</v>
      </c>
      <c r="D133" s="210" t="s">
        <v>984</v>
      </c>
      <c r="E133" s="205" t="s">
        <v>985</v>
      </c>
      <c r="F133" s="203" t="s">
        <v>985</v>
      </c>
      <c r="G133" s="197"/>
      <c r="H133" s="197" t="s">
        <v>168</v>
      </c>
      <c r="I133" s="198"/>
    </row>
    <row r="134" spans="1:9" x14ac:dyDescent="0.25">
      <c r="A134" s="199" t="s">
        <v>228</v>
      </c>
      <c r="B134" s="213" t="s">
        <v>986</v>
      </c>
      <c r="C134" s="207"/>
      <c r="D134" s="281" t="s">
        <v>52</v>
      </c>
      <c r="E134" s="281" t="s">
        <v>52</v>
      </c>
      <c r="F134" s="281" t="s">
        <v>52</v>
      </c>
      <c r="G134" s="197"/>
      <c r="H134" s="197" t="s">
        <v>64</v>
      </c>
      <c r="I134" s="198"/>
    </row>
    <row r="135" spans="1:9" x14ac:dyDescent="0.25">
      <c r="A135" s="199" t="s">
        <v>229</v>
      </c>
      <c r="B135" s="204" t="s">
        <v>51</v>
      </c>
      <c r="C135" s="207"/>
      <c r="D135" s="210" t="s">
        <v>984</v>
      </c>
      <c r="E135" s="205" t="s">
        <v>985</v>
      </c>
      <c r="F135" s="197" t="s">
        <v>987</v>
      </c>
      <c r="G135" s="197"/>
      <c r="H135" s="197" t="s">
        <v>230</v>
      </c>
      <c r="I135" s="198"/>
    </row>
    <row r="136" spans="1:9" x14ac:dyDescent="0.25">
      <c r="A136" s="236" t="s">
        <v>231</v>
      </c>
      <c r="B136" s="266" t="s">
        <v>62</v>
      </c>
      <c r="C136" s="265" t="s">
        <v>62</v>
      </c>
      <c r="D136" s="205" t="s">
        <v>985</v>
      </c>
      <c r="E136" s="205" t="s">
        <v>985</v>
      </c>
      <c r="F136" s="203" t="s">
        <v>985</v>
      </c>
      <c r="G136" s="197"/>
      <c r="H136" s="197" t="s">
        <v>36</v>
      </c>
      <c r="I136" s="198"/>
    </row>
    <row r="137" spans="1:9" x14ac:dyDescent="0.25">
      <c r="A137" s="236" t="s">
        <v>232</v>
      </c>
      <c r="B137" s="266" t="s">
        <v>62</v>
      </c>
      <c r="C137" s="265" t="s">
        <v>62</v>
      </c>
      <c r="D137" s="205" t="s">
        <v>985</v>
      </c>
      <c r="E137" s="205" t="s">
        <v>985</v>
      </c>
      <c r="F137" s="203" t="s">
        <v>985</v>
      </c>
      <c r="G137" s="197"/>
      <c r="H137" s="197" t="s">
        <v>31</v>
      </c>
      <c r="I137" s="198"/>
    </row>
    <row r="138" spans="1:9" x14ac:dyDescent="0.25">
      <c r="A138" s="216" t="s">
        <v>1000</v>
      </c>
      <c r="B138" s="227" t="s">
        <v>57</v>
      </c>
      <c r="C138" s="202" t="s">
        <v>983</v>
      </c>
      <c r="D138" s="205" t="s">
        <v>985</v>
      </c>
      <c r="E138" s="205" t="s">
        <v>985</v>
      </c>
      <c r="F138" s="203" t="s">
        <v>985</v>
      </c>
      <c r="G138" s="197"/>
      <c r="H138" s="197" t="s">
        <v>136</v>
      </c>
      <c r="I138" s="198" t="s">
        <v>233</v>
      </c>
    </row>
    <row r="139" spans="1:9" x14ac:dyDescent="0.25">
      <c r="A139" s="236" t="s">
        <v>234</v>
      </c>
      <c r="B139" s="266" t="s">
        <v>62</v>
      </c>
      <c r="C139" s="265" t="s">
        <v>62</v>
      </c>
      <c r="D139" s="205" t="s">
        <v>985</v>
      </c>
      <c r="E139" s="205" t="s">
        <v>985</v>
      </c>
      <c r="F139" s="203" t="s">
        <v>985</v>
      </c>
      <c r="G139" s="197"/>
      <c r="H139" s="197" t="s">
        <v>36</v>
      </c>
      <c r="I139" s="198"/>
    </row>
    <row r="140" spans="1:9" x14ac:dyDescent="0.25">
      <c r="A140" s="236" t="s">
        <v>235</v>
      </c>
      <c r="B140" s="237" t="s">
        <v>62</v>
      </c>
      <c r="C140" s="249" t="s">
        <v>51</v>
      </c>
      <c r="D140" s="205" t="s">
        <v>985</v>
      </c>
      <c r="E140" s="205" t="s">
        <v>985</v>
      </c>
      <c r="F140" s="203" t="s">
        <v>985</v>
      </c>
      <c r="G140" s="197"/>
      <c r="H140" s="197" t="s">
        <v>38</v>
      </c>
      <c r="I140" s="198"/>
    </row>
    <row r="141" spans="1:9" x14ac:dyDescent="0.25">
      <c r="A141" s="236" t="s">
        <v>236</v>
      </c>
      <c r="B141" s="266" t="s">
        <v>105</v>
      </c>
      <c r="C141" s="265" t="s">
        <v>105</v>
      </c>
      <c r="D141" s="205" t="s">
        <v>985</v>
      </c>
      <c r="E141" s="205" t="s">
        <v>985</v>
      </c>
      <c r="F141" s="203" t="s">
        <v>985</v>
      </c>
      <c r="G141" s="197"/>
      <c r="H141" s="197" t="s">
        <v>34</v>
      </c>
      <c r="I141" s="219" t="s">
        <v>1001</v>
      </c>
    </row>
    <row r="142" spans="1:9" x14ac:dyDescent="0.25">
      <c r="A142" s="236" t="s">
        <v>237</v>
      </c>
      <c r="B142" s="266" t="s">
        <v>62</v>
      </c>
      <c r="C142" s="265" t="s">
        <v>62</v>
      </c>
      <c r="D142" s="205" t="s">
        <v>985</v>
      </c>
      <c r="E142" s="205" t="s">
        <v>985</v>
      </c>
      <c r="F142" s="203" t="s">
        <v>985</v>
      </c>
      <c r="G142" s="197"/>
      <c r="H142" s="197" t="s">
        <v>33</v>
      </c>
      <c r="I142" s="198"/>
    </row>
    <row r="143" spans="1:9" x14ac:dyDescent="0.25">
      <c r="A143" s="236" t="s">
        <v>238</v>
      </c>
      <c r="B143" s="266" t="s">
        <v>62</v>
      </c>
      <c r="C143" s="265" t="s">
        <v>62</v>
      </c>
      <c r="D143" s="205" t="s">
        <v>985</v>
      </c>
      <c r="E143" s="205" t="s">
        <v>985</v>
      </c>
      <c r="F143" s="203" t="s">
        <v>985</v>
      </c>
      <c r="G143" s="197"/>
      <c r="H143" s="197" t="s">
        <v>33</v>
      </c>
      <c r="I143" s="198"/>
    </row>
    <row r="144" spans="1:9" x14ac:dyDescent="0.25">
      <c r="A144" s="236" t="s">
        <v>239</v>
      </c>
      <c r="B144" s="266" t="s">
        <v>62</v>
      </c>
      <c r="C144" s="265" t="s">
        <v>62</v>
      </c>
      <c r="D144" s="205" t="s">
        <v>985</v>
      </c>
      <c r="E144" s="205" t="s">
        <v>985</v>
      </c>
      <c r="F144" s="203" t="s">
        <v>985</v>
      </c>
      <c r="G144" s="197"/>
      <c r="H144" s="197" t="s">
        <v>33</v>
      </c>
      <c r="I144" s="198"/>
    </row>
    <row r="145" spans="1:9" x14ac:dyDescent="0.25">
      <c r="A145" s="236" t="s">
        <v>240</v>
      </c>
      <c r="B145" s="237" t="s">
        <v>62</v>
      </c>
      <c r="C145" s="234" t="s">
        <v>62</v>
      </c>
      <c r="D145" s="205" t="s">
        <v>985</v>
      </c>
      <c r="E145" s="205" t="s">
        <v>985</v>
      </c>
      <c r="F145" s="203" t="s">
        <v>985</v>
      </c>
      <c r="G145" s="197"/>
      <c r="H145" s="197" t="s">
        <v>29</v>
      </c>
      <c r="I145" s="198"/>
    </row>
    <row r="146" spans="1:9" x14ac:dyDescent="0.25">
      <c r="A146" s="236" t="s">
        <v>241</v>
      </c>
      <c r="B146" s="237" t="s">
        <v>62</v>
      </c>
      <c r="C146" s="234" t="s">
        <v>62</v>
      </c>
      <c r="D146" s="205" t="s">
        <v>985</v>
      </c>
      <c r="E146" s="205" t="s">
        <v>985</v>
      </c>
      <c r="F146" s="203" t="s">
        <v>985</v>
      </c>
      <c r="G146" s="197"/>
      <c r="H146" s="197" t="s">
        <v>29</v>
      </c>
      <c r="I146" s="198"/>
    </row>
    <row r="147" spans="1:9" x14ac:dyDescent="0.25">
      <c r="A147" s="236" t="s">
        <v>242</v>
      </c>
      <c r="B147" s="266" t="s">
        <v>105</v>
      </c>
      <c r="C147" s="265" t="s">
        <v>105</v>
      </c>
      <c r="D147" s="205" t="s">
        <v>985</v>
      </c>
      <c r="E147" s="205" t="s">
        <v>985</v>
      </c>
      <c r="F147" s="203" t="s">
        <v>985</v>
      </c>
      <c r="G147" s="197"/>
      <c r="H147" s="197" t="s">
        <v>34</v>
      </c>
      <c r="I147" s="198"/>
    </row>
    <row r="148" spans="1:9" x14ac:dyDescent="0.25">
      <c r="A148" s="236" t="s">
        <v>243</v>
      </c>
      <c r="B148" s="266" t="s">
        <v>62</v>
      </c>
      <c r="C148" s="265" t="s">
        <v>62</v>
      </c>
      <c r="D148" s="205" t="s">
        <v>985</v>
      </c>
      <c r="E148" s="205" t="s">
        <v>985</v>
      </c>
      <c r="F148" s="203" t="s">
        <v>985</v>
      </c>
      <c r="G148" s="197"/>
      <c r="H148" s="197" t="s">
        <v>36</v>
      </c>
      <c r="I148" s="198"/>
    </row>
    <row r="149" spans="1:9" x14ac:dyDescent="0.25">
      <c r="A149" s="236" t="s">
        <v>244</v>
      </c>
      <c r="B149" s="266" t="s">
        <v>62</v>
      </c>
      <c r="C149" s="265" t="s">
        <v>62</v>
      </c>
      <c r="D149" s="205" t="s">
        <v>985</v>
      </c>
      <c r="E149" s="205" t="s">
        <v>985</v>
      </c>
      <c r="F149" s="203" t="s">
        <v>985</v>
      </c>
      <c r="G149" s="197"/>
      <c r="H149" s="197" t="s">
        <v>36</v>
      </c>
      <c r="I149" s="198"/>
    </row>
    <row r="150" spans="1:9" x14ac:dyDescent="0.25">
      <c r="A150" s="236" t="s">
        <v>245</v>
      </c>
      <c r="B150" s="266" t="s">
        <v>62</v>
      </c>
      <c r="C150" s="265" t="s">
        <v>62</v>
      </c>
      <c r="D150" s="205" t="s">
        <v>985</v>
      </c>
      <c r="E150" s="205" t="s">
        <v>985</v>
      </c>
      <c r="F150" s="203" t="s">
        <v>985</v>
      </c>
      <c r="G150" s="197"/>
      <c r="H150" s="197" t="s">
        <v>36</v>
      </c>
      <c r="I150" s="198"/>
    </row>
    <row r="151" spans="1:9" x14ac:dyDescent="0.25">
      <c r="A151" s="236" t="s">
        <v>246</v>
      </c>
      <c r="B151" s="266" t="s">
        <v>62</v>
      </c>
      <c r="C151" s="265" t="s">
        <v>62</v>
      </c>
      <c r="D151" s="205" t="s">
        <v>985</v>
      </c>
      <c r="E151" s="205" t="s">
        <v>985</v>
      </c>
      <c r="F151" s="203" t="s">
        <v>985</v>
      </c>
      <c r="G151" s="197"/>
      <c r="H151" s="197" t="s">
        <v>36</v>
      </c>
      <c r="I151" s="198"/>
    </row>
    <row r="152" spans="1:9" x14ac:dyDescent="0.25">
      <c r="A152" s="236" t="s">
        <v>247</v>
      </c>
      <c r="B152" s="266" t="s">
        <v>62</v>
      </c>
      <c r="C152" s="265" t="s">
        <v>62</v>
      </c>
      <c r="D152" s="205" t="s">
        <v>985</v>
      </c>
      <c r="E152" s="205" t="s">
        <v>985</v>
      </c>
      <c r="F152" s="203" t="s">
        <v>985</v>
      </c>
      <c r="G152" s="197"/>
      <c r="H152" s="197" t="s">
        <v>36</v>
      </c>
      <c r="I152" s="198"/>
    </row>
    <row r="153" spans="1:9" x14ac:dyDescent="0.25">
      <c r="A153" s="236" t="s">
        <v>248</v>
      </c>
      <c r="B153" s="266" t="s">
        <v>62</v>
      </c>
      <c r="C153" s="265" t="s">
        <v>62</v>
      </c>
      <c r="D153" s="205" t="s">
        <v>985</v>
      </c>
      <c r="E153" s="205" t="s">
        <v>985</v>
      </c>
      <c r="F153" s="203" t="s">
        <v>985</v>
      </c>
      <c r="G153" s="197"/>
      <c r="H153" s="197" t="s">
        <v>36</v>
      </c>
      <c r="I153" s="198"/>
    </row>
    <row r="154" spans="1:9" x14ac:dyDescent="0.25">
      <c r="A154" s="236" t="s">
        <v>249</v>
      </c>
      <c r="B154" s="237" t="s">
        <v>62</v>
      </c>
      <c r="C154" s="234" t="s">
        <v>62</v>
      </c>
      <c r="D154" s="205" t="s">
        <v>985</v>
      </c>
      <c r="E154" s="205" t="s">
        <v>985</v>
      </c>
      <c r="F154" s="203" t="s">
        <v>985</v>
      </c>
      <c r="G154" s="197"/>
      <c r="H154" s="197" t="s">
        <v>29</v>
      </c>
      <c r="I154" s="198"/>
    </row>
    <row r="155" spans="1:9" x14ac:dyDescent="0.25">
      <c r="A155" s="236" t="s">
        <v>250</v>
      </c>
      <c r="B155" s="237" t="s">
        <v>62</v>
      </c>
      <c r="C155" s="207"/>
      <c r="D155" s="205" t="s">
        <v>985</v>
      </c>
      <c r="E155" s="205" t="s">
        <v>985</v>
      </c>
      <c r="F155" s="197" t="s">
        <v>987</v>
      </c>
      <c r="G155" s="197"/>
      <c r="H155" s="197" t="s">
        <v>38</v>
      </c>
      <c r="I155" s="198"/>
    </row>
    <row r="156" spans="1:9" x14ac:dyDescent="0.25">
      <c r="A156" s="236" t="s">
        <v>251</v>
      </c>
      <c r="B156" s="237" t="s">
        <v>105</v>
      </c>
      <c r="C156" s="234" t="s">
        <v>105</v>
      </c>
      <c r="D156" s="205" t="s">
        <v>985</v>
      </c>
      <c r="E156" s="205" t="s">
        <v>985</v>
      </c>
      <c r="F156" s="203" t="s">
        <v>985</v>
      </c>
      <c r="G156" s="197"/>
      <c r="H156" s="197" t="s">
        <v>28</v>
      </c>
      <c r="I156" s="198"/>
    </row>
    <row r="157" spans="1:9" x14ac:dyDescent="0.25">
      <c r="A157" s="236" t="s">
        <v>252</v>
      </c>
      <c r="B157" s="266" t="s">
        <v>62</v>
      </c>
      <c r="C157" s="265" t="s">
        <v>62</v>
      </c>
      <c r="D157" s="205" t="s">
        <v>985</v>
      </c>
      <c r="E157" s="205" t="s">
        <v>985</v>
      </c>
      <c r="F157" s="203" t="s">
        <v>985</v>
      </c>
      <c r="G157" s="197"/>
      <c r="H157" s="197" t="s">
        <v>33</v>
      </c>
      <c r="I157" s="198"/>
    </row>
    <row r="158" spans="1:9" x14ac:dyDescent="0.25">
      <c r="A158" s="236" t="s">
        <v>253</v>
      </c>
      <c r="B158" s="237" t="s">
        <v>62</v>
      </c>
      <c r="C158" s="234" t="s">
        <v>62</v>
      </c>
      <c r="D158" s="205" t="s">
        <v>985</v>
      </c>
      <c r="E158" s="205" t="s">
        <v>985</v>
      </c>
      <c r="F158" s="203" t="s">
        <v>985</v>
      </c>
      <c r="G158" s="197"/>
      <c r="H158" s="197" t="s">
        <v>27</v>
      </c>
      <c r="I158" s="198"/>
    </row>
    <row r="159" spans="1:9" x14ac:dyDescent="0.25">
      <c r="A159" s="208" t="s">
        <v>254</v>
      </c>
      <c r="B159" s="241" t="s">
        <v>119</v>
      </c>
      <c r="C159" s="239" t="s">
        <v>119</v>
      </c>
      <c r="D159" s="205" t="s">
        <v>985</v>
      </c>
      <c r="E159" s="210" t="s">
        <v>52</v>
      </c>
      <c r="F159" s="203" t="s">
        <v>985</v>
      </c>
      <c r="G159" s="197" t="s">
        <v>985</v>
      </c>
      <c r="H159" s="197" t="s">
        <v>168</v>
      </c>
      <c r="I159" s="198"/>
    </row>
    <row r="160" spans="1:9" x14ac:dyDescent="0.25">
      <c r="A160" s="230" t="s">
        <v>255</v>
      </c>
      <c r="B160" s="299" t="s">
        <v>256</v>
      </c>
      <c r="C160" s="312" t="s">
        <v>256</v>
      </c>
      <c r="D160" s="205" t="s">
        <v>985</v>
      </c>
      <c r="E160" s="210" t="s">
        <v>52</v>
      </c>
      <c r="F160" s="203" t="s">
        <v>985</v>
      </c>
      <c r="G160" s="197"/>
      <c r="H160" s="197" t="s">
        <v>31</v>
      </c>
      <c r="I160" s="198"/>
    </row>
    <row r="161" spans="1:9" x14ac:dyDescent="0.25">
      <c r="A161" s="236" t="s">
        <v>257</v>
      </c>
      <c r="B161" s="266" t="s">
        <v>62</v>
      </c>
      <c r="C161" s="265" t="s">
        <v>62</v>
      </c>
      <c r="D161" s="205" t="s">
        <v>985</v>
      </c>
      <c r="E161" s="205" t="s">
        <v>985</v>
      </c>
      <c r="F161" s="203" t="s">
        <v>985</v>
      </c>
      <c r="G161" s="197"/>
      <c r="H161" s="197" t="s">
        <v>31</v>
      </c>
      <c r="I161" s="198"/>
    </row>
    <row r="162" spans="1:9" x14ac:dyDescent="0.25">
      <c r="A162" s="236" t="s">
        <v>258</v>
      </c>
      <c r="B162" s="266" t="s">
        <v>62</v>
      </c>
      <c r="C162" s="265" t="s">
        <v>62</v>
      </c>
      <c r="D162" s="205" t="s">
        <v>985</v>
      </c>
      <c r="E162" s="205" t="s">
        <v>985</v>
      </c>
      <c r="F162" s="203" t="s">
        <v>985</v>
      </c>
      <c r="G162" s="197"/>
      <c r="H162" s="197" t="s">
        <v>31</v>
      </c>
      <c r="I162" s="198"/>
    </row>
    <row r="163" spans="1:9" x14ac:dyDescent="0.25">
      <c r="A163" s="230" t="s">
        <v>259</v>
      </c>
      <c r="B163" s="213" t="s">
        <v>51</v>
      </c>
      <c r="C163" s="207"/>
      <c r="D163" s="205" t="s">
        <v>985</v>
      </c>
      <c r="E163" s="205" t="s">
        <v>985</v>
      </c>
      <c r="F163" s="197" t="s">
        <v>987</v>
      </c>
      <c r="G163" s="197"/>
      <c r="H163" s="197" t="s">
        <v>136</v>
      </c>
      <c r="I163" s="198"/>
    </row>
    <row r="164" spans="1:9" x14ac:dyDescent="0.25">
      <c r="A164" s="236" t="s">
        <v>260</v>
      </c>
      <c r="B164" s="237" t="s">
        <v>105</v>
      </c>
      <c r="C164" s="234" t="s">
        <v>105</v>
      </c>
      <c r="D164" s="205" t="s">
        <v>985</v>
      </c>
      <c r="E164" s="205" t="s">
        <v>985</v>
      </c>
      <c r="F164" s="203" t="s">
        <v>985</v>
      </c>
      <c r="G164" s="197"/>
      <c r="H164" s="197" t="s">
        <v>28</v>
      </c>
      <c r="I164" s="198"/>
    </row>
    <row r="165" spans="1:9" x14ac:dyDescent="0.25">
      <c r="A165" s="216" t="s">
        <v>261</v>
      </c>
      <c r="B165" s="213" t="s">
        <v>51</v>
      </c>
      <c r="C165" s="207"/>
      <c r="D165" s="205" t="s">
        <v>985</v>
      </c>
      <c r="E165" s="205" t="s">
        <v>985</v>
      </c>
      <c r="F165" s="197" t="s">
        <v>987</v>
      </c>
      <c r="G165" s="197"/>
      <c r="H165" s="197" t="s">
        <v>27</v>
      </c>
      <c r="I165" s="198"/>
    </row>
    <row r="166" spans="1:9" x14ac:dyDescent="0.25">
      <c r="A166" s="236" t="s">
        <v>262</v>
      </c>
      <c r="B166" s="237" t="s">
        <v>105</v>
      </c>
      <c r="C166" s="234" t="s">
        <v>105</v>
      </c>
      <c r="D166" s="205" t="s">
        <v>985</v>
      </c>
      <c r="E166" s="205" t="s">
        <v>985</v>
      </c>
      <c r="F166" s="203" t="s">
        <v>985</v>
      </c>
      <c r="G166" s="197"/>
      <c r="H166" s="197" t="s">
        <v>28</v>
      </c>
      <c r="I166" s="198"/>
    </row>
    <row r="167" spans="1:9" x14ac:dyDescent="0.25">
      <c r="A167" s="236" t="s">
        <v>263</v>
      </c>
      <c r="B167" s="237" t="s">
        <v>105</v>
      </c>
      <c r="C167" s="234" t="s">
        <v>105</v>
      </c>
      <c r="D167" s="205" t="s">
        <v>985</v>
      </c>
      <c r="E167" s="205" t="s">
        <v>985</v>
      </c>
      <c r="F167" s="203" t="s">
        <v>985</v>
      </c>
      <c r="G167" s="197"/>
      <c r="H167" s="197" t="s">
        <v>28</v>
      </c>
      <c r="I167" s="198"/>
    </row>
    <row r="168" spans="1:9" x14ac:dyDescent="0.25">
      <c r="A168" s="236" t="s">
        <v>264</v>
      </c>
      <c r="B168" s="237" t="s">
        <v>62</v>
      </c>
      <c r="C168" s="234" t="s">
        <v>62</v>
      </c>
      <c r="D168" s="205" t="s">
        <v>985</v>
      </c>
      <c r="E168" s="205" t="s">
        <v>985</v>
      </c>
      <c r="F168" s="203" t="s">
        <v>985</v>
      </c>
      <c r="G168" s="197"/>
      <c r="H168" s="197" t="s">
        <v>29</v>
      </c>
      <c r="I168" s="198"/>
    </row>
    <row r="169" spans="1:9" x14ac:dyDescent="0.25">
      <c r="A169" s="236" t="s">
        <v>265</v>
      </c>
      <c r="B169" s="266" t="s">
        <v>62</v>
      </c>
      <c r="C169" s="265" t="s">
        <v>62</v>
      </c>
      <c r="D169" s="205" t="s">
        <v>985</v>
      </c>
      <c r="E169" s="205" t="s">
        <v>985</v>
      </c>
      <c r="F169" s="203" t="s">
        <v>985</v>
      </c>
      <c r="G169" s="197"/>
      <c r="H169" s="197" t="s">
        <v>36</v>
      </c>
      <c r="I169" s="198"/>
    </row>
    <row r="170" spans="1:9" x14ac:dyDescent="0.25">
      <c r="A170" s="199" t="s">
        <v>266</v>
      </c>
      <c r="B170" s="211" t="s">
        <v>51</v>
      </c>
      <c r="C170" s="239" t="s">
        <v>983</v>
      </c>
      <c r="D170" s="205" t="s">
        <v>985</v>
      </c>
      <c r="E170" s="205" t="s">
        <v>985</v>
      </c>
      <c r="F170" s="203" t="s">
        <v>985</v>
      </c>
      <c r="G170" s="197"/>
      <c r="H170" s="197" t="s">
        <v>230</v>
      </c>
      <c r="I170" s="198"/>
    </row>
    <row r="171" spans="1:9" x14ac:dyDescent="0.25">
      <c r="A171" s="199" t="s">
        <v>1002</v>
      </c>
      <c r="B171" s="200" t="s">
        <v>51</v>
      </c>
      <c r="C171" s="202" t="s">
        <v>51</v>
      </c>
      <c r="D171" s="205" t="s">
        <v>985</v>
      </c>
      <c r="E171" s="205" t="s">
        <v>985</v>
      </c>
      <c r="F171" s="203" t="s">
        <v>985</v>
      </c>
      <c r="G171" s="197"/>
      <c r="H171" s="197" t="s">
        <v>35</v>
      </c>
      <c r="I171" s="198" t="s">
        <v>267</v>
      </c>
    </row>
    <row r="172" spans="1:9" x14ac:dyDescent="0.25">
      <c r="A172" s="216" t="s">
        <v>268</v>
      </c>
      <c r="B172" s="220" t="s">
        <v>269</v>
      </c>
      <c r="C172" s="207"/>
      <c r="D172" s="205" t="s">
        <v>985</v>
      </c>
      <c r="E172" s="205" t="s">
        <v>985</v>
      </c>
      <c r="F172" s="197" t="s">
        <v>987</v>
      </c>
      <c r="G172" s="197"/>
      <c r="H172" s="197" t="s">
        <v>136</v>
      </c>
      <c r="I172" s="198"/>
    </row>
    <row r="173" spans="1:9" x14ac:dyDescent="0.25">
      <c r="A173" s="236" t="s">
        <v>270</v>
      </c>
      <c r="B173" s="237" t="s">
        <v>62</v>
      </c>
      <c r="C173" s="234" t="s">
        <v>62</v>
      </c>
      <c r="D173" s="205" t="s">
        <v>985</v>
      </c>
      <c r="E173" s="205" t="s">
        <v>985</v>
      </c>
      <c r="F173" s="203" t="s">
        <v>985</v>
      </c>
      <c r="G173" s="197"/>
      <c r="H173" s="197" t="s">
        <v>27</v>
      </c>
      <c r="I173" s="198"/>
    </row>
    <row r="174" spans="1:9" x14ac:dyDescent="0.25">
      <c r="A174" s="236" t="s">
        <v>271</v>
      </c>
      <c r="B174" s="266" t="s">
        <v>105</v>
      </c>
      <c r="C174" s="265" t="s">
        <v>105</v>
      </c>
      <c r="D174" s="205" t="s">
        <v>985</v>
      </c>
      <c r="E174" s="205" t="s">
        <v>985</v>
      </c>
      <c r="F174" s="203" t="s">
        <v>985</v>
      </c>
      <c r="G174" s="197"/>
      <c r="H174" s="197" t="s">
        <v>34</v>
      </c>
      <c r="I174" s="198"/>
    </row>
    <row r="175" spans="1:9" x14ac:dyDescent="0.25">
      <c r="A175" s="236" t="s">
        <v>272</v>
      </c>
      <c r="B175" s="266" t="s">
        <v>62</v>
      </c>
      <c r="C175" s="265" t="s">
        <v>62</v>
      </c>
      <c r="D175" s="205" t="s">
        <v>985</v>
      </c>
      <c r="E175" s="205" t="s">
        <v>985</v>
      </c>
      <c r="F175" s="203" t="s">
        <v>985</v>
      </c>
      <c r="G175" s="197"/>
      <c r="H175" s="197" t="s">
        <v>32</v>
      </c>
      <c r="I175" s="198"/>
    </row>
    <row r="176" spans="1:9" x14ac:dyDescent="0.25">
      <c r="A176" s="236" t="s">
        <v>273</v>
      </c>
      <c r="B176" s="237" t="s">
        <v>105</v>
      </c>
      <c r="C176" s="234" t="s">
        <v>105</v>
      </c>
      <c r="D176" s="205" t="s">
        <v>985</v>
      </c>
      <c r="E176" s="205" t="s">
        <v>985</v>
      </c>
      <c r="F176" s="203" t="s">
        <v>985</v>
      </c>
      <c r="G176" s="197"/>
      <c r="H176" s="197" t="s">
        <v>28</v>
      </c>
      <c r="I176" s="198"/>
    </row>
    <row r="177" spans="1:9" x14ac:dyDescent="0.25">
      <c r="A177" s="216" t="s">
        <v>274</v>
      </c>
      <c r="B177" s="200" t="s">
        <v>51</v>
      </c>
      <c r="C177" s="207"/>
      <c r="D177" s="281" t="s">
        <v>52</v>
      </c>
      <c r="E177" s="281" t="s">
        <v>52</v>
      </c>
      <c r="F177" s="281" t="s">
        <v>52</v>
      </c>
      <c r="G177" s="197"/>
      <c r="H177" s="197" t="s">
        <v>75</v>
      </c>
      <c r="I177" s="198"/>
    </row>
    <row r="178" spans="1:9" x14ac:dyDescent="0.25">
      <c r="A178" s="216" t="s">
        <v>275</v>
      </c>
      <c r="B178" s="200" t="s">
        <v>51</v>
      </c>
      <c r="C178" s="207"/>
      <c r="D178" s="281" t="s">
        <v>52</v>
      </c>
      <c r="E178" s="281" t="s">
        <v>52</v>
      </c>
      <c r="F178" s="281" t="s">
        <v>52</v>
      </c>
      <c r="G178" s="197"/>
      <c r="H178" s="197" t="s">
        <v>53</v>
      </c>
      <c r="I178" s="198"/>
    </row>
    <row r="179" spans="1:9" x14ac:dyDescent="0.25">
      <c r="A179" s="199" t="s">
        <v>277</v>
      </c>
      <c r="B179" s="200" t="s">
        <v>51</v>
      </c>
      <c r="C179" s="207"/>
      <c r="D179" s="205" t="s">
        <v>985</v>
      </c>
      <c r="E179" s="205" t="s">
        <v>985</v>
      </c>
      <c r="F179" s="197" t="s">
        <v>987</v>
      </c>
      <c r="G179" s="197"/>
      <c r="H179" s="197" t="s">
        <v>168</v>
      </c>
      <c r="I179" s="198"/>
    </row>
    <row r="180" spans="1:9" x14ac:dyDescent="0.25">
      <c r="A180" s="236" t="s">
        <v>278</v>
      </c>
      <c r="B180" s="237" t="s">
        <v>62</v>
      </c>
      <c r="C180" s="234" t="s">
        <v>62</v>
      </c>
      <c r="D180" s="205" t="s">
        <v>985</v>
      </c>
      <c r="E180" s="205" t="s">
        <v>985</v>
      </c>
      <c r="F180" s="203" t="s">
        <v>985</v>
      </c>
      <c r="G180" s="197"/>
      <c r="H180" s="197" t="s">
        <v>29</v>
      </c>
      <c r="I180" s="198"/>
    </row>
    <row r="181" spans="1:9" x14ac:dyDescent="0.25">
      <c r="A181" s="199" t="s">
        <v>279</v>
      </c>
      <c r="B181" s="200" t="s">
        <v>51</v>
      </c>
      <c r="C181" s="207"/>
      <c r="D181" s="205" t="s">
        <v>985</v>
      </c>
      <c r="E181" s="205" t="s">
        <v>985</v>
      </c>
      <c r="F181" s="197" t="s">
        <v>987</v>
      </c>
      <c r="G181" s="197"/>
      <c r="H181" s="197" t="s">
        <v>37</v>
      </c>
      <c r="I181" s="198"/>
    </row>
    <row r="182" spans="1:9" x14ac:dyDescent="0.25">
      <c r="A182" s="199" t="s">
        <v>280</v>
      </c>
      <c r="B182" s="200" t="s">
        <v>51</v>
      </c>
      <c r="C182" s="202" t="s">
        <v>983</v>
      </c>
      <c r="D182" s="205" t="s">
        <v>985</v>
      </c>
      <c r="E182" s="205" t="s">
        <v>985</v>
      </c>
      <c r="F182" s="203" t="s">
        <v>985</v>
      </c>
      <c r="G182" s="197"/>
      <c r="H182" s="197" t="s">
        <v>226</v>
      </c>
      <c r="I182" s="198"/>
    </row>
    <row r="183" spans="1:9" x14ac:dyDescent="0.25">
      <c r="A183" s="199" t="s">
        <v>281</v>
      </c>
      <c r="B183" s="200" t="s">
        <v>51</v>
      </c>
      <c r="C183" s="207"/>
      <c r="D183" s="205" t="s">
        <v>985</v>
      </c>
      <c r="E183" s="205" t="s">
        <v>985</v>
      </c>
      <c r="F183" s="197" t="s">
        <v>987</v>
      </c>
      <c r="G183" s="197"/>
      <c r="H183" s="197" t="s">
        <v>123</v>
      </c>
      <c r="I183" s="198"/>
    </row>
    <row r="184" spans="1:9" x14ac:dyDescent="0.25">
      <c r="A184" s="199" t="s">
        <v>282</v>
      </c>
      <c r="B184" s="213" t="s">
        <v>57</v>
      </c>
      <c r="C184" s="215" t="s">
        <v>983</v>
      </c>
      <c r="D184" s="205" t="s">
        <v>985</v>
      </c>
      <c r="E184" s="205" t="s">
        <v>985</v>
      </c>
      <c r="F184" s="203" t="s">
        <v>985</v>
      </c>
      <c r="G184" s="197"/>
      <c r="H184" s="197" t="s">
        <v>83</v>
      </c>
      <c r="I184" s="198"/>
    </row>
    <row r="185" spans="1:9" x14ac:dyDescent="0.25">
      <c r="A185" s="287" t="s">
        <v>1003</v>
      </c>
      <c r="B185" s="200" t="s">
        <v>51</v>
      </c>
      <c r="C185" s="202" t="s">
        <v>983</v>
      </c>
      <c r="D185" s="205" t="s">
        <v>985</v>
      </c>
      <c r="E185" s="205" t="s">
        <v>985</v>
      </c>
      <c r="F185" s="203" t="s">
        <v>985</v>
      </c>
      <c r="G185" s="197"/>
      <c r="H185" s="197" t="s">
        <v>123</v>
      </c>
      <c r="I185" s="198"/>
    </row>
    <row r="186" spans="1:9" x14ac:dyDescent="0.25">
      <c r="A186" s="199" t="s">
        <v>283</v>
      </c>
      <c r="B186" s="213" t="s">
        <v>986</v>
      </c>
      <c r="C186" s="207"/>
      <c r="D186" s="281" t="s">
        <v>52</v>
      </c>
      <c r="E186" s="281" t="s">
        <v>52</v>
      </c>
      <c r="F186" s="281" t="s">
        <v>52</v>
      </c>
      <c r="G186" s="197"/>
      <c r="H186" s="197" t="s">
        <v>64</v>
      </c>
      <c r="I186" s="198"/>
    </row>
    <row r="187" spans="1:9" x14ac:dyDescent="0.25">
      <c r="A187" s="236" t="s">
        <v>284</v>
      </c>
      <c r="B187" s="266" t="s">
        <v>62</v>
      </c>
      <c r="C187" s="265" t="s">
        <v>62</v>
      </c>
      <c r="D187" s="205" t="s">
        <v>985</v>
      </c>
      <c r="E187" s="205" t="s">
        <v>985</v>
      </c>
      <c r="F187" s="203" t="s">
        <v>985</v>
      </c>
      <c r="G187" s="197"/>
      <c r="H187" s="197" t="s">
        <v>33</v>
      </c>
      <c r="I187" s="175"/>
    </row>
    <row r="188" spans="1:9" x14ac:dyDescent="0.25">
      <c r="A188" s="230" t="s">
        <v>285</v>
      </c>
      <c r="B188" s="200" t="s">
        <v>286</v>
      </c>
      <c r="C188" s="202" t="s">
        <v>983</v>
      </c>
      <c r="D188" s="205" t="s">
        <v>985</v>
      </c>
      <c r="E188" s="205" t="s">
        <v>985</v>
      </c>
      <c r="F188" s="203" t="s">
        <v>985</v>
      </c>
      <c r="G188" s="197" t="s">
        <v>985</v>
      </c>
      <c r="H188" s="197" t="s">
        <v>230</v>
      </c>
      <c r="I188" s="235"/>
    </row>
    <row r="189" spans="1:9" x14ac:dyDescent="0.25">
      <c r="A189" s="230" t="s">
        <v>1004</v>
      </c>
      <c r="B189" s="204" t="s">
        <v>51</v>
      </c>
      <c r="C189" s="207"/>
      <c r="D189" s="210" t="s">
        <v>984</v>
      </c>
      <c r="E189" s="205" t="s">
        <v>985</v>
      </c>
      <c r="F189" s="197" t="s">
        <v>987</v>
      </c>
      <c r="G189" s="197"/>
      <c r="H189" s="197" t="s">
        <v>230</v>
      </c>
      <c r="I189" s="198" t="s">
        <v>287</v>
      </c>
    </row>
    <row r="190" spans="1:9" x14ac:dyDescent="0.25">
      <c r="A190" s="236" t="s">
        <v>288</v>
      </c>
      <c r="B190" s="266" t="s">
        <v>62</v>
      </c>
      <c r="C190" s="265" t="s">
        <v>62</v>
      </c>
      <c r="D190" s="205" t="s">
        <v>985</v>
      </c>
      <c r="E190" s="205" t="s">
        <v>985</v>
      </c>
      <c r="F190" s="203" t="s">
        <v>985</v>
      </c>
      <c r="G190" s="197"/>
      <c r="H190" s="197" t="s">
        <v>31</v>
      </c>
      <c r="I190" s="198"/>
    </row>
    <row r="191" spans="1:9" x14ac:dyDescent="0.25">
      <c r="A191" s="236" t="s">
        <v>289</v>
      </c>
      <c r="B191" s="237" t="s">
        <v>62</v>
      </c>
      <c r="C191" s="311" t="s">
        <v>62</v>
      </c>
      <c r="D191" s="205" t="s">
        <v>985</v>
      </c>
      <c r="E191" s="205" t="s">
        <v>985</v>
      </c>
      <c r="F191" s="203" t="s">
        <v>985</v>
      </c>
      <c r="G191" s="197"/>
      <c r="H191" s="197" t="s">
        <v>38</v>
      </c>
      <c r="I191" s="198"/>
    </row>
    <row r="192" spans="1:9" x14ac:dyDescent="0.25">
      <c r="A192" s="230" t="s">
        <v>1005</v>
      </c>
      <c r="B192" s="200" t="s">
        <v>51</v>
      </c>
      <c r="C192" s="202" t="s">
        <v>51</v>
      </c>
      <c r="D192" s="281" t="s">
        <v>52</v>
      </c>
      <c r="E192" s="281" t="s">
        <v>52</v>
      </c>
      <c r="F192" s="281" t="s">
        <v>52</v>
      </c>
      <c r="G192" s="197"/>
      <c r="H192" s="197" t="s">
        <v>80</v>
      </c>
      <c r="I192" s="198"/>
    </row>
    <row r="193" spans="1:9" x14ac:dyDescent="0.25">
      <c r="A193" s="287" t="s">
        <v>1006</v>
      </c>
      <c r="B193" s="257"/>
      <c r="C193" s="202" t="s">
        <v>989</v>
      </c>
      <c r="D193" s="257"/>
      <c r="E193" s="257"/>
      <c r="F193" s="280" t="s">
        <v>52</v>
      </c>
      <c r="G193" s="197"/>
      <c r="H193" s="197" t="s">
        <v>75</v>
      </c>
      <c r="I193" s="198"/>
    </row>
    <row r="194" spans="1:9" x14ac:dyDescent="0.25">
      <c r="A194" s="236" t="s">
        <v>291</v>
      </c>
      <c r="B194" s="266" t="s">
        <v>62</v>
      </c>
      <c r="C194" s="265" t="s">
        <v>62</v>
      </c>
      <c r="D194" s="205" t="s">
        <v>985</v>
      </c>
      <c r="E194" s="205" t="s">
        <v>985</v>
      </c>
      <c r="F194" s="203" t="s">
        <v>985</v>
      </c>
      <c r="G194" s="197"/>
      <c r="H194" s="197" t="s">
        <v>31</v>
      </c>
      <c r="I194" s="198"/>
    </row>
    <row r="195" spans="1:9" x14ac:dyDescent="0.25">
      <c r="A195" s="236" t="s">
        <v>292</v>
      </c>
      <c r="B195" s="237" t="s">
        <v>62</v>
      </c>
      <c r="C195" s="234" t="s">
        <v>62</v>
      </c>
      <c r="D195" s="205" t="s">
        <v>985</v>
      </c>
      <c r="E195" s="205" t="s">
        <v>985</v>
      </c>
      <c r="F195" s="203" t="s">
        <v>985</v>
      </c>
      <c r="G195" s="197"/>
      <c r="H195" s="197" t="s">
        <v>29</v>
      </c>
      <c r="I195" s="198"/>
    </row>
    <row r="196" spans="1:9" x14ac:dyDescent="0.25">
      <c r="A196" s="236" t="s">
        <v>293</v>
      </c>
      <c r="B196" s="237" t="s">
        <v>62</v>
      </c>
      <c r="C196" s="234" t="s">
        <v>62</v>
      </c>
      <c r="D196" s="205" t="s">
        <v>985</v>
      </c>
      <c r="E196" s="205" t="s">
        <v>985</v>
      </c>
      <c r="F196" s="203" t="s">
        <v>985</v>
      </c>
      <c r="G196" s="197"/>
      <c r="H196" s="197" t="s">
        <v>29</v>
      </c>
      <c r="I196" s="198"/>
    </row>
    <row r="197" spans="1:9" x14ac:dyDescent="0.25">
      <c r="A197" s="199" t="s">
        <v>294</v>
      </c>
      <c r="B197" s="200" t="s">
        <v>51</v>
      </c>
      <c r="C197" s="202" t="s">
        <v>51</v>
      </c>
      <c r="D197" s="205" t="s">
        <v>985</v>
      </c>
      <c r="E197" s="205" t="s">
        <v>985</v>
      </c>
      <c r="F197" s="203" t="s">
        <v>985</v>
      </c>
      <c r="G197" s="197"/>
      <c r="H197" s="197" t="s">
        <v>31</v>
      </c>
      <c r="I197" s="198"/>
    </row>
    <row r="198" spans="1:9" x14ac:dyDescent="0.25">
      <c r="A198" s="199" t="s">
        <v>295</v>
      </c>
      <c r="B198" s="306" t="s">
        <v>57</v>
      </c>
      <c r="C198" s="207"/>
      <c r="D198" s="210" t="s">
        <v>984</v>
      </c>
      <c r="E198" s="205" t="s">
        <v>985</v>
      </c>
      <c r="F198" s="197" t="s">
        <v>987</v>
      </c>
      <c r="G198" s="197"/>
      <c r="H198" s="197" t="s">
        <v>35</v>
      </c>
      <c r="I198" s="198"/>
    </row>
    <row r="199" spans="1:9" x14ac:dyDescent="0.25">
      <c r="A199" s="199" t="s">
        <v>296</v>
      </c>
      <c r="B199" s="213" t="s">
        <v>986</v>
      </c>
      <c r="C199" s="207"/>
      <c r="D199" s="281" t="s">
        <v>52</v>
      </c>
      <c r="E199" s="281" t="s">
        <v>52</v>
      </c>
      <c r="F199" s="281" t="s">
        <v>52</v>
      </c>
      <c r="G199" s="197"/>
      <c r="H199" s="197" t="s">
        <v>64</v>
      </c>
      <c r="I199" s="198"/>
    </row>
    <row r="200" spans="1:9" x14ac:dyDescent="0.25">
      <c r="A200" s="199" t="s">
        <v>297</v>
      </c>
      <c r="B200" s="242" t="s">
        <v>298</v>
      </c>
      <c r="C200" s="243" t="s">
        <v>298</v>
      </c>
      <c r="D200" s="205" t="s">
        <v>985</v>
      </c>
      <c r="E200" s="205" t="s">
        <v>985</v>
      </c>
      <c r="F200" s="203" t="s">
        <v>985</v>
      </c>
      <c r="G200" s="197" t="s">
        <v>985</v>
      </c>
      <c r="H200" s="197" t="s">
        <v>28</v>
      </c>
      <c r="I200" s="198"/>
    </row>
    <row r="201" spans="1:9" x14ac:dyDescent="0.25">
      <c r="A201" s="199" t="s">
        <v>299</v>
      </c>
      <c r="B201" s="200" t="s">
        <v>51</v>
      </c>
      <c r="C201" s="202" t="s">
        <v>983</v>
      </c>
      <c r="D201" s="205" t="s">
        <v>985</v>
      </c>
      <c r="E201" s="205" t="s">
        <v>985</v>
      </c>
      <c r="F201" s="203" t="s">
        <v>985</v>
      </c>
      <c r="G201" s="197"/>
      <c r="H201" s="197" t="s">
        <v>125</v>
      </c>
      <c r="I201" s="206"/>
    </row>
    <row r="202" spans="1:9" x14ac:dyDescent="0.25">
      <c r="A202" s="199" t="s">
        <v>300</v>
      </c>
      <c r="B202" s="213" t="s">
        <v>89</v>
      </c>
      <c r="C202" s="207"/>
      <c r="D202" s="281" t="s">
        <v>52</v>
      </c>
      <c r="E202" s="281" t="s">
        <v>52</v>
      </c>
      <c r="F202" s="281" t="s">
        <v>52</v>
      </c>
      <c r="G202" s="197"/>
      <c r="H202" s="197" t="s">
        <v>75</v>
      </c>
      <c r="I202" s="198"/>
    </row>
    <row r="203" spans="1:9" x14ac:dyDescent="0.25">
      <c r="A203" s="236" t="s">
        <v>301</v>
      </c>
      <c r="B203" s="266" t="s">
        <v>62</v>
      </c>
      <c r="C203" s="265" t="s">
        <v>62</v>
      </c>
      <c r="D203" s="205" t="s">
        <v>985</v>
      </c>
      <c r="E203" s="205" t="s">
        <v>985</v>
      </c>
      <c r="F203" s="203" t="s">
        <v>985</v>
      </c>
      <c r="G203" s="197"/>
      <c r="H203" s="197" t="s">
        <v>33</v>
      </c>
      <c r="I203" s="198"/>
    </row>
    <row r="204" spans="1:9" x14ac:dyDescent="0.25">
      <c r="A204" s="199" t="s">
        <v>1007</v>
      </c>
      <c r="B204" s="213" t="s">
        <v>57</v>
      </c>
      <c r="C204" s="202" t="s">
        <v>1008</v>
      </c>
      <c r="D204" s="281" t="s">
        <v>52</v>
      </c>
      <c r="E204" s="281" t="s">
        <v>52</v>
      </c>
      <c r="F204" s="281" t="s">
        <v>52</v>
      </c>
      <c r="G204" s="197"/>
      <c r="H204" s="197" t="s">
        <v>53</v>
      </c>
      <c r="I204" s="198"/>
    </row>
    <row r="205" spans="1:9" x14ac:dyDescent="0.25">
      <c r="A205" s="287" t="s">
        <v>1009</v>
      </c>
      <c r="B205" s="257"/>
      <c r="C205" s="202" t="s">
        <v>983</v>
      </c>
      <c r="D205" s="257"/>
      <c r="E205" s="257"/>
      <c r="F205" s="203" t="s">
        <v>985</v>
      </c>
      <c r="G205" s="197"/>
      <c r="H205" s="197" t="s">
        <v>95</v>
      </c>
      <c r="I205" s="198"/>
    </row>
    <row r="206" spans="1:9" x14ac:dyDescent="0.25">
      <c r="A206" s="236" t="s">
        <v>302</v>
      </c>
      <c r="B206" s="266" t="s">
        <v>62</v>
      </c>
      <c r="C206" s="265" t="s">
        <v>62</v>
      </c>
      <c r="D206" s="205" t="s">
        <v>985</v>
      </c>
      <c r="E206" s="205" t="s">
        <v>985</v>
      </c>
      <c r="F206" s="203" t="s">
        <v>985</v>
      </c>
      <c r="G206" s="197"/>
      <c r="H206" s="197" t="s">
        <v>32</v>
      </c>
      <c r="I206" s="198"/>
    </row>
    <row r="207" spans="1:9" x14ac:dyDescent="0.25">
      <c r="A207" s="236" t="s">
        <v>303</v>
      </c>
      <c r="B207" s="266" t="s">
        <v>62</v>
      </c>
      <c r="C207" s="265" t="s">
        <v>62</v>
      </c>
      <c r="D207" s="205" t="s">
        <v>985</v>
      </c>
      <c r="E207" s="205" t="s">
        <v>985</v>
      </c>
      <c r="F207" s="203" t="s">
        <v>985</v>
      </c>
      <c r="G207" s="197"/>
      <c r="H207" s="197" t="s">
        <v>31</v>
      </c>
      <c r="I207" s="198"/>
    </row>
    <row r="208" spans="1:9" x14ac:dyDescent="0.25">
      <c r="A208" s="236" t="s">
        <v>304</v>
      </c>
      <c r="B208" s="266" t="s">
        <v>62</v>
      </c>
      <c r="C208" s="265" t="s">
        <v>62</v>
      </c>
      <c r="D208" s="205" t="s">
        <v>985</v>
      </c>
      <c r="E208" s="205" t="s">
        <v>985</v>
      </c>
      <c r="F208" s="203" t="s">
        <v>985</v>
      </c>
      <c r="G208" s="197"/>
      <c r="H208" s="197" t="s">
        <v>31</v>
      </c>
      <c r="I208" s="198"/>
    </row>
    <row r="209" spans="1:9" x14ac:dyDescent="0.25">
      <c r="A209" s="236" t="s">
        <v>305</v>
      </c>
      <c r="B209" s="266" t="s">
        <v>62</v>
      </c>
      <c r="C209" s="265" t="s">
        <v>62</v>
      </c>
      <c r="D209" s="205" t="s">
        <v>985</v>
      </c>
      <c r="E209" s="205" t="s">
        <v>985</v>
      </c>
      <c r="F209" s="203" t="s">
        <v>985</v>
      </c>
      <c r="G209" s="197"/>
      <c r="H209" s="197" t="s">
        <v>31</v>
      </c>
      <c r="I209" s="198"/>
    </row>
    <row r="210" spans="1:9" x14ac:dyDescent="0.25">
      <c r="A210" s="199" t="s">
        <v>306</v>
      </c>
      <c r="B210" s="204" t="s">
        <v>57</v>
      </c>
      <c r="C210" s="215" t="s">
        <v>983</v>
      </c>
      <c r="D210" s="210" t="s">
        <v>984</v>
      </c>
      <c r="E210" s="205" t="s">
        <v>985</v>
      </c>
      <c r="F210" s="203" t="s">
        <v>985</v>
      </c>
      <c r="G210" s="197"/>
      <c r="H210" s="197" t="s">
        <v>83</v>
      </c>
      <c r="I210" s="198"/>
    </row>
    <row r="211" spans="1:9" x14ac:dyDescent="0.25">
      <c r="A211" s="199" t="s">
        <v>307</v>
      </c>
      <c r="B211" s="204" t="s">
        <v>51</v>
      </c>
      <c r="C211" s="207"/>
      <c r="D211" s="210" t="s">
        <v>984</v>
      </c>
      <c r="E211" s="205" t="s">
        <v>985</v>
      </c>
      <c r="F211" s="197" t="s">
        <v>987</v>
      </c>
      <c r="G211" s="197"/>
      <c r="H211" s="197" t="s">
        <v>95</v>
      </c>
      <c r="I211" s="198"/>
    </row>
    <row r="212" spans="1:9" x14ac:dyDescent="0.25">
      <c r="A212" s="236" t="s">
        <v>308</v>
      </c>
      <c r="B212" s="237" t="s">
        <v>105</v>
      </c>
      <c r="C212" s="234" t="s">
        <v>105</v>
      </c>
      <c r="D212" s="205" t="s">
        <v>985</v>
      </c>
      <c r="E212" s="205" t="s">
        <v>985</v>
      </c>
      <c r="F212" s="203" t="s">
        <v>985</v>
      </c>
      <c r="G212" s="197"/>
      <c r="H212" s="197" t="s">
        <v>28</v>
      </c>
      <c r="I212" s="198"/>
    </row>
    <row r="213" spans="1:9" x14ac:dyDescent="0.25">
      <c r="A213" s="199" t="s">
        <v>1010</v>
      </c>
      <c r="B213" s="200" t="s">
        <v>51</v>
      </c>
      <c r="C213" s="215" t="s">
        <v>983</v>
      </c>
      <c r="D213" s="281" t="s">
        <v>52</v>
      </c>
      <c r="E213" s="281" t="s">
        <v>52</v>
      </c>
      <c r="F213" s="281" t="s">
        <v>52</v>
      </c>
      <c r="G213" s="197"/>
      <c r="H213" s="197" t="s">
        <v>80</v>
      </c>
      <c r="I213" s="198"/>
    </row>
    <row r="214" spans="1:9" x14ac:dyDescent="0.25">
      <c r="A214" s="199" t="s">
        <v>1011</v>
      </c>
      <c r="B214" s="204" t="s">
        <v>51</v>
      </c>
      <c r="C214" s="202" t="s">
        <v>51</v>
      </c>
      <c r="D214" s="210" t="s">
        <v>984</v>
      </c>
      <c r="E214" s="205" t="s">
        <v>985</v>
      </c>
      <c r="F214" s="203" t="s">
        <v>985</v>
      </c>
      <c r="G214" s="197"/>
      <c r="H214" s="197" t="s">
        <v>35</v>
      </c>
      <c r="I214" s="198"/>
    </row>
    <row r="215" spans="1:9" x14ac:dyDescent="0.25">
      <c r="A215" s="236" t="s">
        <v>309</v>
      </c>
      <c r="B215" s="237" t="s">
        <v>62</v>
      </c>
      <c r="C215" s="234" t="s">
        <v>62</v>
      </c>
      <c r="D215" s="205" t="s">
        <v>985</v>
      </c>
      <c r="E215" s="205" t="s">
        <v>985</v>
      </c>
      <c r="F215" s="203" t="s">
        <v>985</v>
      </c>
      <c r="G215" s="197"/>
      <c r="H215" s="197" t="s">
        <v>29</v>
      </c>
      <c r="I215" s="198"/>
    </row>
    <row r="216" spans="1:9" x14ac:dyDescent="0.25">
      <c r="A216" s="333" t="s">
        <v>1308</v>
      </c>
      <c r="B216" s="337"/>
      <c r="C216" s="345"/>
      <c r="D216" s="205" t="s">
        <v>985</v>
      </c>
      <c r="E216" s="205" t="s">
        <v>985</v>
      </c>
      <c r="F216" s="203" t="s">
        <v>985</v>
      </c>
      <c r="G216" s="335"/>
      <c r="H216" s="351" t="s">
        <v>134</v>
      </c>
      <c r="I216" s="336"/>
    </row>
    <row r="217" spans="1:9" x14ac:dyDescent="0.25">
      <c r="A217" s="247" t="s">
        <v>310</v>
      </c>
      <c r="B217" s="200" t="s">
        <v>57</v>
      </c>
      <c r="C217" s="202" t="s">
        <v>57</v>
      </c>
      <c r="D217" s="205" t="s">
        <v>985</v>
      </c>
      <c r="E217" s="205" t="s">
        <v>985</v>
      </c>
      <c r="F217" s="203" t="s">
        <v>985</v>
      </c>
      <c r="G217" s="197"/>
      <c r="H217" s="197" t="s">
        <v>34</v>
      </c>
      <c r="I217" s="198"/>
    </row>
    <row r="218" spans="1:9" x14ac:dyDescent="0.25">
      <c r="A218" s="236" t="s">
        <v>311</v>
      </c>
      <c r="B218" s="266" t="s">
        <v>105</v>
      </c>
      <c r="C218" s="265" t="s">
        <v>105</v>
      </c>
      <c r="D218" s="205" t="s">
        <v>985</v>
      </c>
      <c r="E218" s="205" t="s">
        <v>985</v>
      </c>
      <c r="F218" s="203" t="s">
        <v>985</v>
      </c>
      <c r="G218" s="197"/>
      <c r="H218" s="197" t="s">
        <v>34</v>
      </c>
      <c r="I218" s="198"/>
    </row>
    <row r="219" spans="1:9" x14ac:dyDescent="0.25">
      <c r="A219" s="199" t="s">
        <v>312</v>
      </c>
      <c r="B219" s="213" t="s">
        <v>57</v>
      </c>
      <c r="C219" s="207"/>
      <c r="D219" s="205" t="s">
        <v>985</v>
      </c>
      <c r="E219" s="205" t="s">
        <v>985</v>
      </c>
      <c r="F219" s="197" t="s">
        <v>987</v>
      </c>
      <c r="G219" s="197"/>
      <c r="H219" s="197" t="s">
        <v>78</v>
      </c>
      <c r="I219" s="198"/>
    </row>
    <row r="220" spans="1:9" x14ac:dyDescent="0.25">
      <c r="A220" s="270" t="s">
        <v>313</v>
      </c>
      <c r="B220" s="303" t="s">
        <v>314</v>
      </c>
      <c r="C220" s="212" t="s">
        <v>51</v>
      </c>
      <c r="D220" s="205" t="s">
        <v>985</v>
      </c>
      <c r="E220" s="205" t="s">
        <v>985</v>
      </c>
      <c r="F220" s="203" t="s">
        <v>985</v>
      </c>
      <c r="G220" s="197"/>
      <c r="H220" s="197" t="s">
        <v>31</v>
      </c>
      <c r="I220" s="198"/>
    </row>
    <row r="221" spans="1:9" x14ac:dyDescent="0.25">
      <c r="A221" s="199" t="s">
        <v>315</v>
      </c>
      <c r="B221" s="213" t="s">
        <v>57</v>
      </c>
      <c r="C221" s="202" t="s">
        <v>983</v>
      </c>
      <c r="D221" s="205" t="s">
        <v>985</v>
      </c>
      <c r="E221" s="205" t="s">
        <v>985</v>
      </c>
      <c r="F221" s="203" t="s">
        <v>985</v>
      </c>
      <c r="G221" s="197"/>
      <c r="H221" s="197" t="s">
        <v>78</v>
      </c>
      <c r="I221" s="198"/>
    </row>
    <row r="222" spans="1:9" x14ac:dyDescent="0.25">
      <c r="A222" s="236" t="s">
        <v>316</v>
      </c>
      <c r="B222" s="237" t="s">
        <v>62</v>
      </c>
      <c r="C222" s="234" t="s">
        <v>62</v>
      </c>
      <c r="D222" s="205" t="s">
        <v>985</v>
      </c>
      <c r="E222" s="205" t="s">
        <v>985</v>
      </c>
      <c r="F222" s="205" t="s">
        <v>985</v>
      </c>
      <c r="G222" s="197"/>
      <c r="H222" s="197" t="s">
        <v>29</v>
      </c>
      <c r="I222" s="198"/>
    </row>
    <row r="223" spans="1:9" x14ac:dyDescent="0.25">
      <c r="A223" s="199" t="s">
        <v>317</v>
      </c>
      <c r="B223" s="213" t="s">
        <v>986</v>
      </c>
      <c r="C223" s="207"/>
      <c r="D223" s="281" t="s">
        <v>52</v>
      </c>
      <c r="E223" s="281" t="s">
        <v>52</v>
      </c>
      <c r="F223" s="281" t="s">
        <v>52</v>
      </c>
      <c r="G223" s="197"/>
      <c r="H223" s="197" t="s">
        <v>64</v>
      </c>
      <c r="I223" s="198"/>
    </row>
    <row r="224" spans="1:9" x14ac:dyDescent="0.25">
      <c r="A224" s="199" t="s">
        <v>318</v>
      </c>
      <c r="B224" s="213" t="s">
        <v>89</v>
      </c>
      <c r="C224" s="207"/>
      <c r="D224" s="281" t="s">
        <v>52</v>
      </c>
      <c r="E224" s="281" t="s">
        <v>52</v>
      </c>
      <c r="F224" s="280" t="s">
        <v>52</v>
      </c>
      <c r="G224" s="197"/>
      <c r="H224" s="197" t="s">
        <v>75</v>
      </c>
      <c r="I224" s="198"/>
    </row>
    <row r="225" spans="1:9" x14ac:dyDescent="0.25">
      <c r="A225" s="216" t="s">
        <v>319</v>
      </c>
      <c r="B225" s="200" t="s">
        <v>51</v>
      </c>
      <c r="C225" s="202" t="s">
        <v>51</v>
      </c>
      <c r="D225" s="205" t="s">
        <v>985</v>
      </c>
      <c r="E225" s="205" t="s">
        <v>985</v>
      </c>
      <c r="F225" s="203" t="s">
        <v>985</v>
      </c>
      <c r="G225" s="197"/>
      <c r="H225" s="197" t="s">
        <v>35</v>
      </c>
      <c r="I225" s="198"/>
    </row>
    <row r="226" spans="1:9" x14ac:dyDescent="0.25">
      <c r="A226" s="246" t="s">
        <v>320</v>
      </c>
      <c r="B226" s="211" t="s">
        <v>51</v>
      </c>
      <c r="C226" s="212" t="s">
        <v>51</v>
      </c>
      <c r="D226" s="205" t="s">
        <v>985</v>
      </c>
      <c r="E226" s="205" t="s">
        <v>985</v>
      </c>
      <c r="F226" s="205" t="s">
        <v>985</v>
      </c>
      <c r="G226" s="197"/>
      <c r="H226" s="197" t="s">
        <v>134</v>
      </c>
      <c r="I226" s="198"/>
    </row>
    <row r="227" spans="1:9" x14ac:dyDescent="0.25">
      <c r="A227" s="216" t="s">
        <v>1012</v>
      </c>
      <c r="B227" s="200" t="s">
        <v>51</v>
      </c>
      <c r="C227" s="212" t="s">
        <v>983</v>
      </c>
      <c r="D227" s="281" t="s">
        <v>52</v>
      </c>
      <c r="E227" s="281" t="s">
        <v>52</v>
      </c>
      <c r="F227" s="280" t="s">
        <v>52</v>
      </c>
      <c r="G227" s="197"/>
      <c r="H227" s="197" t="s">
        <v>53</v>
      </c>
      <c r="I227" s="198"/>
    </row>
    <row r="228" spans="1:9" x14ac:dyDescent="0.25">
      <c r="A228" s="216" t="s">
        <v>322</v>
      </c>
      <c r="B228" s="232" t="s">
        <v>51</v>
      </c>
      <c r="C228" s="207" t="s">
        <v>986</v>
      </c>
      <c r="D228" s="210" t="s">
        <v>984</v>
      </c>
      <c r="E228" s="205" t="s">
        <v>985</v>
      </c>
      <c r="F228" s="197" t="s">
        <v>987</v>
      </c>
      <c r="G228" s="197"/>
      <c r="H228" s="197" t="s">
        <v>168</v>
      </c>
      <c r="I228" s="198"/>
    </row>
    <row r="229" spans="1:9" x14ac:dyDescent="0.25">
      <c r="A229" s="216" t="s">
        <v>323</v>
      </c>
      <c r="B229" s="231" t="s">
        <v>57</v>
      </c>
      <c r="C229" s="207"/>
      <c r="D229" s="205" t="s">
        <v>985</v>
      </c>
      <c r="E229" s="210" t="s">
        <v>52</v>
      </c>
      <c r="F229" s="197" t="s">
        <v>987</v>
      </c>
      <c r="G229" s="197"/>
      <c r="H229" s="197" t="s">
        <v>136</v>
      </c>
      <c r="I229" s="198"/>
    </row>
    <row r="230" spans="1:9" x14ac:dyDescent="0.25">
      <c r="A230" s="236" t="s">
        <v>324</v>
      </c>
      <c r="B230" s="266" t="s">
        <v>62</v>
      </c>
      <c r="C230" s="265" t="s">
        <v>62</v>
      </c>
      <c r="D230" s="205" t="s">
        <v>985</v>
      </c>
      <c r="E230" s="205" t="s">
        <v>985</v>
      </c>
      <c r="F230" s="203" t="s">
        <v>985</v>
      </c>
      <c r="G230" s="197"/>
      <c r="H230" s="197" t="s">
        <v>30</v>
      </c>
      <c r="I230" s="198"/>
    </row>
    <row r="231" spans="1:9" x14ac:dyDescent="0.25">
      <c r="A231" s="236" t="s">
        <v>325</v>
      </c>
      <c r="B231" s="237" t="s">
        <v>62</v>
      </c>
      <c r="C231" s="234" t="s">
        <v>62</v>
      </c>
      <c r="D231" s="205" t="s">
        <v>985</v>
      </c>
      <c r="E231" s="205" t="s">
        <v>985</v>
      </c>
      <c r="F231" s="203" t="s">
        <v>985</v>
      </c>
      <c r="G231" s="197"/>
      <c r="H231" s="197" t="s">
        <v>29</v>
      </c>
      <c r="I231" s="198"/>
    </row>
    <row r="232" spans="1:9" x14ac:dyDescent="0.25">
      <c r="A232" s="199" t="s">
        <v>326</v>
      </c>
      <c r="B232" s="200" t="s">
        <v>51</v>
      </c>
      <c r="C232" s="212" t="s">
        <v>983</v>
      </c>
      <c r="D232" s="205" t="s">
        <v>985</v>
      </c>
      <c r="E232" s="205" t="s">
        <v>985</v>
      </c>
      <c r="F232" s="203" t="s">
        <v>985</v>
      </c>
      <c r="G232" s="197"/>
      <c r="H232" s="197" t="s">
        <v>226</v>
      </c>
      <c r="I232" s="198"/>
    </row>
    <row r="233" spans="1:9" x14ac:dyDescent="0.25">
      <c r="A233" s="236" t="s">
        <v>327</v>
      </c>
      <c r="B233" s="266" t="s">
        <v>62</v>
      </c>
      <c r="C233" s="265" t="s">
        <v>62</v>
      </c>
      <c r="D233" s="205" t="s">
        <v>985</v>
      </c>
      <c r="E233" s="205" t="s">
        <v>985</v>
      </c>
      <c r="F233" s="203" t="s">
        <v>985</v>
      </c>
      <c r="G233" s="197"/>
      <c r="H233" s="197" t="s">
        <v>31</v>
      </c>
      <c r="I233" s="198"/>
    </row>
    <row r="234" spans="1:9" x14ac:dyDescent="0.25">
      <c r="A234" s="199" t="s">
        <v>328</v>
      </c>
      <c r="B234" s="200" t="s">
        <v>51</v>
      </c>
      <c r="C234" s="202" t="s">
        <v>983</v>
      </c>
      <c r="D234" s="205" t="s">
        <v>985</v>
      </c>
      <c r="E234" s="205" t="s">
        <v>985</v>
      </c>
      <c r="F234" s="203" t="s">
        <v>985</v>
      </c>
      <c r="G234" s="197"/>
      <c r="H234" s="197" t="s">
        <v>230</v>
      </c>
      <c r="I234" s="198"/>
    </row>
    <row r="235" spans="1:9" x14ac:dyDescent="0.25">
      <c r="A235" s="199" t="s">
        <v>329</v>
      </c>
      <c r="B235" s="213" t="s">
        <v>986</v>
      </c>
      <c r="C235" s="207"/>
      <c r="D235" s="205" t="s">
        <v>985</v>
      </c>
      <c r="E235" s="205" t="s">
        <v>985</v>
      </c>
      <c r="F235" s="197" t="s">
        <v>987</v>
      </c>
      <c r="G235" s="197"/>
      <c r="H235" s="197" t="s">
        <v>27</v>
      </c>
      <c r="I235" s="198"/>
    </row>
    <row r="236" spans="1:9" x14ac:dyDescent="0.25">
      <c r="A236" s="287" t="s">
        <v>1013</v>
      </c>
      <c r="B236" s="257"/>
      <c r="C236" s="212" t="s">
        <v>983</v>
      </c>
      <c r="D236" s="257"/>
      <c r="E236" s="257"/>
      <c r="F236" s="203" t="s">
        <v>985</v>
      </c>
      <c r="G236" s="197"/>
      <c r="H236" s="197" t="s">
        <v>95</v>
      </c>
      <c r="I236" s="198"/>
    </row>
    <row r="237" spans="1:9" x14ac:dyDescent="0.25">
      <c r="A237" s="236" t="s">
        <v>330</v>
      </c>
      <c r="B237" s="266" t="s">
        <v>62</v>
      </c>
      <c r="C237" s="265" t="s">
        <v>62</v>
      </c>
      <c r="D237" s="205" t="s">
        <v>985</v>
      </c>
      <c r="E237" s="205" t="s">
        <v>985</v>
      </c>
      <c r="F237" s="203" t="s">
        <v>985</v>
      </c>
      <c r="G237" s="197"/>
      <c r="H237" s="197" t="s">
        <v>30</v>
      </c>
      <c r="I237" s="198"/>
    </row>
    <row r="238" spans="1:9" x14ac:dyDescent="0.25">
      <c r="A238" s="236" t="s">
        <v>331</v>
      </c>
      <c r="B238" s="266" t="s">
        <v>62</v>
      </c>
      <c r="C238" s="265" t="s">
        <v>62</v>
      </c>
      <c r="D238" s="205" t="s">
        <v>985</v>
      </c>
      <c r="E238" s="205" t="s">
        <v>985</v>
      </c>
      <c r="F238" s="203" t="s">
        <v>985</v>
      </c>
      <c r="G238" s="197"/>
      <c r="H238" s="197" t="s">
        <v>30</v>
      </c>
      <c r="I238" s="198"/>
    </row>
    <row r="239" spans="1:9" x14ac:dyDescent="0.25">
      <c r="A239" s="199" t="s">
        <v>332</v>
      </c>
      <c r="B239" s="200" t="s">
        <v>51</v>
      </c>
      <c r="C239" s="202" t="s">
        <v>983</v>
      </c>
      <c r="D239" s="205" t="s">
        <v>985</v>
      </c>
      <c r="E239" s="205" t="s">
        <v>985</v>
      </c>
      <c r="F239" s="203" t="s">
        <v>985</v>
      </c>
      <c r="G239" s="197"/>
      <c r="H239" s="197" t="s">
        <v>226</v>
      </c>
      <c r="I239" s="198"/>
    </row>
    <row r="240" spans="1:9" x14ac:dyDescent="0.25">
      <c r="A240" s="199" t="s">
        <v>333</v>
      </c>
      <c r="B240" s="200" t="s">
        <v>51</v>
      </c>
      <c r="C240" s="207"/>
      <c r="D240" s="205" t="s">
        <v>985</v>
      </c>
      <c r="E240" s="205" t="s">
        <v>985</v>
      </c>
      <c r="F240" s="197" t="s">
        <v>987</v>
      </c>
      <c r="G240" s="197"/>
      <c r="H240" s="197" t="s">
        <v>123</v>
      </c>
      <c r="I240" s="198"/>
    </row>
    <row r="241" spans="1:9" x14ac:dyDescent="0.25">
      <c r="A241" s="252" t="s">
        <v>334</v>
      </c>
      <c r="B241" s="237" t="s">
        <v>105</v>
      </c>
      <c r="C241" s="234" t="s">
        <v>105</v>
      </c>
      <c r="D241" s="205" t="s">
        <v>985</v>
      </c>
      <c r="E241" s="205" t="s">
        <v>985</v>
      </c>
      <c r="F241" s="203" t="s">
        <v>985</v>
      </c>
      <c r="G241" s="197"/>
      <c r="H241" s="197" t="s">
        <v>28</v>
      </c>
      <c r="I241" s="198"/>
    </row>
    <row r="242" spans="1:9" x14ac:dyDescent="0.25">
      <c r="A242" s="236" t="s">
        <v>335</v>
      </c>
      <c r="B242" s="266" t="s">
        <v>62</v>
      </c>
      <c r="C242" s="265" t="s">
        <v>62</v>
      </c>
      <c r="D242" s="205" t="s">
        <v>985</v>
      </c>
      <c r="E242" s="205" t="s">
        <v>985</v>
      </c>
      <c r="F242" s="203" t="s">
        <v>985</v>
      </c>
      <c r="G242" s="197"/>
      <c r="H242" s="197" t="s">
        <v>31</v>
      </c>
      <c r="I242" s="198"/>
    </row>
    <row r="243" spans="1:9" s="193" customFormat="1" x14ac:dyDescent="0.25">
      <c r="A243" s="199" t="s">
        <v>336</v>
      </c>
      <c r="B243" s="213" t="s">
        <v>57</v>
      </c>
      <c r="C243" s="202" t="s">
        <v>983</v>
      </c>
      <c r="D243" s="205" t="s">
        <v>985</v>
      </c>
      <c r="E243" s="205" t="s">
        <v>985</v>
      </c>
      <c r="F243" s="203" t="s">
        <v>985</v>
      </c>
      <c r="G243" s="197"/>
      <c r="H243" s="197" t="s">
        <v>136</v>
      </c>
      <c r="I243" s="198"/>
    </row>
    <row r="244" spans="1:9" x14ac:dyDescent="0.25">
      <c r="A244" s="287" t="s">
        <v>1014</v>
      </c>
      <c r="B244" s="200" t="s">
        <v>51</v>
      </c>
      <c r="C244" s="202" t="s">
        <v>983</v>
      </c>
      <c r="D244" s="205" t="s">
        <v>985</v>
      </c>
      <c r="E244" s="205" t="s">
        <v>985</v>
      </c>
      <c r="F244" s="203" t="s">
        <v>985</v>
      </c>
      <c r="G244" s="197"/>
      <c r="H244" s="197" t="s">
        <v>125</v>
      </c>
      <c r="I244" s="198"/>
    </row>
    <row r="245" spans="1:9" x14ac:dyDescent="0.25">
      <c r="A245" s="199" t="s">
        <v>337</v>
      </c>
      <c r="B245" s="200" t="s">
        <v>51</v>
      </c>
      <c r="C245" s="202" t="s">
        <v>983</v>
      </c>
      <c r="D245" s="205" t="s">
        <v>985</v>
      </c>
      <c r="E245" s="205" t="s">
        <v>985</v>
      </c>
      <c r="F245" s="203" t="s">
        <v>985</v>
      </c>
      <c r="G245" s="197"/>
      <c r="H245" s="197" t="s">
        <v>123</v>
      </c>
      <c r="I245" s="198"/>
    </row>
    <row r="246" spans="1:9" x14ac:dyDescent="0.25">
      <c r="A246" s="236" t="s">
        <v>338</v>
      </c>
      <c r="B246" s="237" t="s">
        <v>105</v>
      </c>
      <c r="C246" s="234" t="s">
        <v>105</v>
      </c>
      <c r="D246" s="205" t="s">
        <v>985</v>
      </c>
      <c r="E246" s="205" t="s">
        <v>985</v>
      </c>
      <c r="F246" s="203" t="s">
        <v>985</v>
      </c>
      <c r="G246" s="197"/>
      <c r="H246" s="197" t="s">
        <v>28</v>
      </c>
      <c r="I246" s="198"/>
    </row>
    <row r="247" spans="1:9" x14ac:dyDescent="0.25">
      <c r="A247" s="236" t="s">
        <v>339</v>
      </c>
      <c r="B247" s="237" t="s">
        <v>62</v>
      </c>
      <c r="C247" s="234" t="s">
        <v>62</v>
      </c>
      <c r="D247" s="205" t="s">
        <v>985</v>
      </c>
      <c r="E247" s="205" t="s">
        <v>985</v>
      </c>
      <c r="F247" s="203" t="s">
        <v>985</v>
      </c>
      <c r="G247" s="197"/>
      <c r="H247" s="197" t="s">
        <v>29</v>
      </c>
      <c r="I247" s="198"/>
    </row>
    <row r="248" spans="1:9" x14ac:dyDescent="0.25">
      <c r="A248" s="236" t="s">
        <v>340</v>
      </c>
      <c r="B248" s="237" t="s">
        <v>62</v>
      </c>
      <c r="C248" s="234" t="s">
        <v>62</v>
      </c>
      <c r="D248" s="205" t="s">
        <v>985</v>
      </c>
      <c r="E248" s="205" t="s">
        <v>985</v>
      </c>
      <c r="F248" s="203" t="s">
        <v>985</v>
      </c>
      <c r="G248" s="197"/>
      <c r="H248" s="197" t="s">
        <v>27</v>
      </c>
      <c r="I248" s="198"/>
    </row>
    <row r="249" spans="1:9" x14ac:dyDescent="0.25">
      <c r="A249" s="236" t="s">
        <v>341</v>
      </c>
      <c r="B249" s="237" t="s">
        <v>105</v>
      </c>
      <c r="C249" s="234" t="s">
        <v>105</v>
      </c>
      <c r="D249" s="205" t="s">
        <v>985</v>
      </c>
      <c r="E249" s="205" t="s">
        <v>985</v>
      </c>
      <c r="F249" s="203" t="s">
        <v>985</v>
      </c>
      <c r="G249" s="197"/>
      <c r="H249" s="197" t="s">
        <v>134</v>
      </c>
      <c r="I249" s="198"/>
    </row>
    <row r="250" spans="1:9" x14ac:dyDescent="0.25">
      <c r="A250" s="236" t="s">
        <v>342</v>
      </c>
      <c r="B250" s="237" t="s">
        <v>62</v>
      </c>
      <c r="C250" s="234" t="s">
        <v>62</v>
      </c>
      <c r="D250" s="205" t="s">
        <v>985</v>
      </c>
      <c r="E250" s="205" t="s">
        <v>985</v>
      </c>
      <c r="F250" s="203" t="s">
        <v>985</v>
      </c>
      <c r="G250" s="197"/>
      <c r="H250" s="197" t="s">
        <v>27</v>
      </c>
      <c r="I250" s="198"/>
    </row>
    <row r="251" spans="1:9" x14ac:dyDescent="0.25">
      <c r="A251" s="236" t="s">
        <v>343</v>
      </c>
      <c r="B251" s="237" t="s">
        <v>62</v>
      </c>
      <c r="C251" s="234" t="s">
        <v>62</v>
      </c>
      <c r="D251" s="205" t="s">
        <v>985</v>
      </c>
      <c r="E251" s="205" t="s">
        <v>985</v>
      </c>
      <c r="F251" s="203" t="s">
        <v>985</v>
      </c>
      <c r="G251" s="197"/>
      <c r="H251" s="197" t="s">
        <v>29</v>
      </c>
      <c r="I251" s="198"/>
    </row>
    <row r="252" spans="1:9" x14ac:dyDescent="0.25">
      <c r="A252" s="236" t="s">
        <v>344</v>
      </c>
      <c r="B252" s="237" t="s">
        <v>105</v>
      </c>
      <c r="C252" s="234" t="s">
        <v>105</v>
      </c>
      <c r="D252" s="205" t="s">
        <v>985</v>
      </c>
      <c r="E252" s="205" t="s">
        <v>985</v>
      </c>
      <c r="F252" s="203" t="s">
        <v>985</v>
      </c>
      <c r="G252" s="197"/>
      <c r="H252" s="197" t="s">
        <v>28</v>
      </c>
      <c r="I252" s="198"/>
    </row>
    <row r="253" spans="1:9" x14ac:dyDescent="0.25">
      <c r="A253" s="236" t="s">
        <v>345</v>
      </c>
      <c r="B253" s="266" t="s">
        <v>62</v>
      </c>
      <c r="C253" s="265" t="s">
        <v>62</v>
      </c>
      <c r="D253" s="205" t="s">
        <v>985</v>
      </c>
      <c r="E253" s="205" t="s">
        <v>985</v>
      </c>
      <c r="F253" s="203" t="s">
        <v>985</v>
      </c>
      <c r="G253" s="197"/>
      <c r="H253" s="197" t="s">
        <v>30</v>
      </c>
      <c r="I253" s="198"/>
    </row>
    <row r="254" spans="1:9" x14ac:dyDescent="0.25">
      <c r="A254" s="199" t="s">
        <v>346</v>
      </c>
      <c r="B254" s="200" t="s">
        <v>51</v>
      </c>
      <c r="C254" s="202" t="s">
        <v>983</v>
      </c>
      <c r="D254" s="205" t="s">
        <v>985</v>
      </c>
      <c r="E254" s="205" t="s">
        <v>985</v>
      </c>
      <c r="F254" s="203" t="s">
        <v>985</v>
      </c>
      <c r="G254" s="197"/>
      <c r="H254" s="197" t="s">
        <v>136</v>
      </c>
      <c r="I254" s="198"/>
    </row>
    <row r="255" spans="1:9" x14ac:dyDescent="0.25">
      <c r="A255" s="199" t="s">
        <v>347</v>
      </c>
      <c r="B255" s="232" t="s">
        <v>51</v>
      </c>
      <c r="C255" s="202" t="s">
        <v>983</v>
      </c>
      <c r="D255" s="210" t="s">
        <v>984</v>
      </c>
      <c r="E255" s="205" t="s">
        <v>985</v>
      </c>
      <c r="F255" s="203" t="s">
        <v>985</v>
      </c>
      <c r="G255" s="197"/>
      <c r="H255" s="197" t="s">
        <v>136</v>
      </c>
      <c r="I255" s="198"/>
    </row>
    <row r="256" spans="1:9" x14ac:dyDescent="0.25">
      <c r="A256" s="333" t="s">
        <v>1309</v>
      </c>
      <c r="B256" s="337"/>
      <c r="C256" s="345"/>
      <c r="D256" s="205" t="s">
        <v>985</v>
      </c>
      <c r="E256" s="205" t="s">
        <v>985</v>
      </c>
      <c r="F256" s="203" t="s">
        <v>985</v>
      </c>
      <c r="G256" s="335"/>
      <c r="H256" s="351" t="s">
        <v>134</v>
      </c>
      <c r="I256" s="336"/>
    </row>
    <row r="257" spans="1:9" x14ac:dyDescent="0.25">
      <c r="A257" s="236" t="s">
        <v>348</v>
      </c>
      <c r="B257" s="237" t="s">
        <v>62</v>
      </c>
      <c r="C257" s="234" t="s">
        <v>62</v>
      </c>
      <c r="D257" s="205" t="s">
        <v>985</v>
      </c>
      <c r="E257" s="205" t="s">
        <v>985</v>
      </c>
      <c r="F257" s="203" t="s">
        <v>985</v>
      </c>
      <c r="G257" s="197"/>
      <c r="H257" s="197" t="s">
        <v>29</v>
      </c>
      <c r="I257" s="198"/>
    </row>
    <row r="258" spans="1:9" x14ac:dyDescent="0.25">
      <c r="A258" s="236" t="s">
        <v>349</v>
      </c>
      <c r="B258" s="237" t="s">
        <v>105</v>
      </c>
      <c r="C258" s="234" t="s">
        <v>105</v>
      </c>
      <c r="D258" s="205" t="s">
        <v>985</v>
      </c>
      <c r="E258" s="205" t="s">
        <v>985</v>
      </c>
      <c r="F258" s="205" t="s">
        <v>985</v>
      </c>
      <c r="G258" s="197"/>
      <c r="H258" s="197" t="s">
        <v>27</v>
      </c>
      <c r="I258" s="198"/>
    </row>
    <row r="259" spans="1:9" x14ac:dyDescent="0.25">
      <c r="A259" s="287" t="s">
        <v>1015</v>
      </c>
      <c r="B259" s="257"/>
      <c r="C259" s="310" t="s">
        <v>1016</v>
      </c>
      <c r="D259" s="257"/>
      <c r="E259" s="257"/>
      <c r="F259" s="203" t="s">
        <v>985</v>
      </c>
      <c r="G259" s="197"/>
      <c r="H259" s="197" t="s">
        <v>95</v>
      </c>
      <c r="I259" s="198"/>
    </row>
    <row r="260" spans="1:9" x14ac:dyDescent="0.25">
      <c r="A260" s="233" t="s">
        <v>350</v>
      </c>
      <c r="B260" s="213" t="s">
        <v>986</v>
      </c>
      <c r="C260" s="207"/>
      <c r="D260" s="281" t="s">
        <v>52</v>
      </c>
      <c r="E260" s="281" t="s">
        <v>52</v>
      </c>
      <c r="F260" s="280" t="s">
        <v>52</v>
      </c>
      <c r="G260" s="197"/>
      <c r="H260" s="197" t="s">
        <v>64</v>
      </c>
      <c r="I260" s="198"/>
    </row>
    <row r="261" spans="1:9" x14ac:dyDescent="0.25">
      <c r="A261" s="233" t="s">
        <v>351</v>
      </c>
      <c r="B261" s="200" t="s">
        <v>51</v>
      </c>
      <c r="C261" s="212" t="s">
        <v>983</v>
      </c>
      <c r="D261" s="205" t="s">
        <v>985</v>
      </c>
      <c r="E261" s="205" t="s">
        <v>985</v>
      </c>
      <c r="F261" s="203" t="s">
        <v>985</v>
      </c>
      <c r="G261" s="197"/>
      <c r="H261" s="197" t="s">
        <v>121</v>
      </c>
      <c r="I261" s="198"/>
    </row>
    <row r="262" spans="1:9" x14ac:dyDescent="0.25">
      <c r="A262" s="252" t="s">
        <v>352</v>
      </c>
      <c r="B262" s="237" t="s">
        <v>62</v>
      </c>
      <c r="C262" s="207"/>
      <c r="D262" s="205" t="s">
        <v>985</v>
      </c>
      <c r="E262" s="205" t="s">
        <v>985</v>
      </c>
      <c r="F262" s="257" t="s">
        <v>987</v>
      </c>
      <c r="G262" s="197"/>
      <c r="H262" s="197" t="s">
        <v>38</v>
      </c>
      <c r="I262" s="198"/>
    </row>
    <row r="263" spans="1:9" x14ac:dyDescent="0.25">
      <c r="A263" s="236" t="s">
        <v>353</v>
      </c>
      <c r="B263" s="237" t="s">
        <v>62</v>
      </c>
      <c r="C263" s="207"/>
      <c r="D263" s="205" t="s">
        <v>985</v>
      </c>
      <c r="E263" s="205" t="s">
        <v>985</v>
      </c>
      <c r="F263" s="257" t="s">
        <v>987</v>
      </c>
      <c r="G263" s="197"/>
      <c r="H263" s="197" t="s">
        <v>38</v>
      </c>
      <c r="I263" s="198"/>
    </row>
    <row r="264" spans="1:9" x14ac:dyDescent="0.25">
      <c r="A264" s="233" t="s">
        <v>354</v>
      </c>
      <c r="B264" s="200" t="s">
        <v>51</v>
      </c>
      <c r="C264" s="202" t="s">
        <v>983</v>
      </c>
      <c r="D264" s="281" t="s">
        <v>52</v>
      </c>
      <c r="E264" s="281" t="s">
        <v>52</v>
      </c>
      <c r="F264" s="280" t="s">
        <v>52</v>
      </c>
      <c r="G264" s="197"/>
      <c r="H264" s="197" t="s">
        <v>80</v>
      </c>
      <c r="I264" s="198"/>
    </row>
    <row r="265" spans="1:9" x14ac:dyDescent="0.25">
      <c r="A265" s="233" t="s">
        <v>355</v>
      </c>
      <c r="B265" s="200" t="s">
        <v>51</v>
      </c>
      <c r="C265" s="207"/>
      <c r="D265" s="281" t="s">
        <v>52</v>
      </c>
      <c r="E265" s="281" t="s">
        <v>52</v>
      </c>
      <c r="F265" s="280" t="s">
        <v>52</v>
      </c>
      <c r="G265" s="197"/>
      <c r="H265" s="197" t="s">
        <v>75</v>
      </c>
      <c r="I265" s="198"/>
    </row>
    <row r="266" spans="1:9" x14ac:dyDescent="0.25">
      <c r="A266" s="236" t="s">
        <v>356</v>
      </c>
      <c r="B266" s="237" t="s">
        <v>62</v>
      </c>
      <c r="C266" s="234" t="s">
        <v>62</v>
      </c>
      <c r="D266" s="205" t="s">
        <v>985</v>
      </c>
      <c r="E266" s="205" t="s">
        <v>985</v>
      </c>
      <c r="F266" s="205" t="s">
        <v>985</v>
      </c>
      <c r="G266" s="197"/>
      <c r="H266" s="197" t="s">
        <v>29</v>
      </c>
      <c r="I266" s="198"/>
    </row>
    <row r="267" spans="1:9" x14ac:dyDescent="0.25">
      <c r="A267" s="236" t="s">
        <v>357</v>
      </c>
      <c r="B267" s="237" t="s">
        <v>62</v>
      </c>
      <c r="C267" s="234" t="s">
        <v>62</v>
      </c>
      <c r="D267" s="205" t="s">
        <v>985</v>
      </c>
      <c r="E267" s="205" t="s">
        <v>985</v>
      </c>
      <c r="F267" s="203" t="s">
        <v>985</v>
      </c>
      <c r="G267" s="197"/>
      <c r="H267" s="197" t="s">
        <v>29</v>
      </c>
      <c r="I267" s="198"/>
    </row>
    <row r="268" spans="1:9" x14ac:dyDescent="0.25">
      <c r="A268" s="233" t="s">
        <v>358</v>
      </c>
      <c r="B268" s="200" t="s">
        <v>51</v>
      </c>
      <c r="C268" s="202" t="s">
        <v>983</v>
      </c>
      <c r="D268" s="281" t="s">
        <v>52</v>
      </c>
      <c r="E268" s="281" t="s">
        <v>52</v>
      </c>
      <c r="F268" s="280" t="s">
        <v>52</v>
      </c>
      <c r="G268" s="197"/>
      <c r="H268" s="197" t="s">
        <v>80</v>
      </c>
      <c r="I268" s="198"/>
    </row>
    <row r="269" spans="1:9" x14ac:dyDescent="0.25">
      <c r="A269" s="236" t="s">
        <v>359</v>
      </c>
      <c r="B269" s="237" t="s">
        <v>62</v>
      </c>
      <c r="C269" s="234" t="s">
        <v>62</v>
      </c>
      <c r="D269" s="205" t="s">
        <v>985</v>
      </c>
      <c r="E269" s="205" t="s">
        <v>985</v>
      </c>
      <c r="F269" s="203" t="s">
        <v>985</v>
      </c>
      <c r="G269" s="197"/>
      <c r="H269" s="197" t="s">
        <v>37</v>
      </c>
      <c r="I269" s="198"/>
    </row>
    <row r="270" spans="1:9" x14ac:dyDescent="0.25">
      <c r="A270" s="233" t="s">
        <v>360</v>
      </c>
      <c r="B270" s="200" t="s">
        <v>51</v>
      </c>
      <c r="C270" s="202" t="s">
        <v>51</v>
      </c>
      <c r="D270" s="205" t="s">
        <v>985</v>
      </c>
      <c r="E270" s="205" t="s">
        <v>985</v>
      </c>
      <c r="F270" s="203" t="s">
        <v>985</v>
      </c>
      <c r="G270" s="197"/>
      <c r="H270" s="197" t="s">
        <v>30</v>
      </c>
      <c r="I270" s="198"/>
    </row>
    <row r="271" spans="1:9" x14ac:dyDescent="0.25">
      <c r="A271" s="233" t="s">
        <v>362</v>
      </c>
      <c r="B271" s="213" t="s">
        <v>57</v>
      </c>
      <c r="C271" s="226" t="s">
        <v>986</v>
      </c>
      <c r="D271" s="205" t="s">
        <v>985</v>
      </c>
      <c r="E271" s="205" t="s">
        <v>985</v>
      </c>
      <c r="F271" s="203" t="s">
        <v>985</v>
      </c>
      <c r="G271" s="197"/>
      <c r="H271" s="197" t="s">
        <v>136</v>
      </c>
      <c r="I271" s="198"/>
    </row>
    <row r="272" spans="1:9" x14ac:dyDescent="0.25">
      <c r="A272" s="236" t="s">
        <v>363</v>
      </c>
      <c r="B272" s="237" t="s">
        <v>105</v>
      </c>
      <c r="C272" s="234" t="s">
        <v>105</v>
      </c>
      <c r="D272" s="205" t="s">
        <v>985</v>
      </c>
      <c r="E272" s="205" t="s">
        <v>985</v>
      </c>
      <c r="F272" s="205" t="s">
        <v>985</v>
      </c>
      <c r="G272" s="197"/>
      <c r="H272" s="197" t="s">
        <v>28</v>
      </c>
      <c r="I272" s="198"/>
    </row>
    <row r="273" spans="1:9" x14ac:dyDescent="0.25">
      <c r="A273" s="233" t="s">
        <v>364</v>
      </c>
      <c r="B273" s="213" t="s">
        <v>286</v>
      </c>
      <c r="C273" s="234" t="s">
        <v>986</v>
      </c>
      <c r="D273" s="205" t="s">
        <v>985</v>
      </c>
      <c r="E273" s="205" t="s">
        <v>985</v>
      </c>
      <c r="F273" s="203" t="s">
        <v>985</v>
      </c>
      <c r="G273" s="197" t="s">
        <v>985</v>
      </c>
      <c r="H273" s="197" t="s">
        <v>136</v>
      </c>
      <c r="I273" s="198"/>
    </row>
    <row r="274" spans="1:9" x14ac:dyDescent="0.25">
      <c r="A274" s="233" t="s">
        <v>365</v>
      </c>
      <c r="B274" s="213" t="s">
        <v>986</v>
      </c>
      <c r="C274" s="207"/>
      <c r="D274" s="281" t="s">
        <v>52</v>
      </c>
      <c r="E274" s="281" t="s">
        <v>52</v>
      </c>
      <c r="F274" s="280" t="s">
        <v>52</v>
      </c>
      <c r="G274" s="197"/>
      <c r="H274" s="197" t="s">
        <v>64</v>
      </c>
      <c r="I274" s="198"/>
    </row>
    <row r="275" spans="1:9" x14ac:dyDescent="0.25">
      <c r="A275" s="199" t="s">
        <v>366</v>
      </c>
      <c r="B275" s="200" t="s">
        <v>51</v>
      </c>
      <c r="C275" s="202" t="s">
        <v>983</v>
      </c>
      <c r="D275" s="205" t="s">
        <v>985</v>
      </c>
      <c r="E275" s="205" t="s">
        <v>985</v>
      </c>
      <c r="F275" s="203" t="s">
        <v>985</v>
      </c>
      <c r="G275" s="197"/>
      <c r="H275" s="197" t="s">
        <v>230</v>
      </c>
      <c r="I275" s="198"/>
    </row>
    <row r="276" spans="1:9" x14ac:dyDescent="0.25">
      <c r="A276" s="236" t="s">
        <v>367</v>
      </c>
      <c r="B276" s="237" t="s">
        <v>62</v>
      </c>
      <c r="C276" s="234" t="s">
        <v>62</v>
      </c>
      <c r="D276" s="205" t="s">
        <v>985</v>
      </c>
      <c r="E276" s="205" t="s">
        <v>985</v>
      </c>
      <c r="F276" s="203" t="s">
        <v>985</v>
      </c>
      <c r="G276" s="197"/>
      <c r="H276" s="197" t="s">
        <v>29</v>
      </c>
      <c r="I276" s="198"/>
    </row>
    <row r="277" spans="1:9" x14ac:dyDescent="0.25">
      <c r="A277" s="236" t="s">
        <v>368</v>
      </c>
      <c r="B277" s="266" t="s">
        <v>62</v>
      </c>
      <c r="C277" s="265" t="s">
        <v>62</v>
      </c>
      <c r="D277" s="205" t="s">
        <v>985</v>
      </c>
      <c r="E277" s="205" t="s">
        <v>985</v>
      </c>
      <c r="F277" s="203" t="s">
        <v>985</v>
      </c>
      <c r="G277" s="197"/>
      <c r="H277" s="197" t="s">
        <v>34</v>
      </c>
      <c r="I277" s="198"/>
    </row>
    <row r="278" spans="1:9" x14ac:dyDescent="0.25">
      <c r="A278" s="236" t="s">
        <v>369</v>
      </c>
      <c r="B278" s="266" t="s">
        <v>62</v>
      </c>
      <c r="C278" s="265" t="s">
        <v>62</v>
      </c>
      <c r="D278" s="205" t="s">
        <v>985</v>
      </c>
      <c r="E278" s="205" t="s">
        <v>985</v>
      </c>
      <c r="F278" s="203" t="s">
        <v>985</v>
      </c>
      <c r="G278" s="197"/>
      <c r="H278" s="197" t="s">
        <v>34</v>
      </c>
      <c r="I278" s="198"/>
    </row>
    <row r="279" spans="1:9" s="323" customFormat="1" x14ac:dyDescent="0.25">
      <c r="A279" s="216" t="s">
        <v>370</v>
      </c>
      <c r="B279" s="220" t="s">
        <v>97</v>
      </c>
      <c r="C279" s="207"/>
      <c r="D279" s="205" t="s">
        <v>985</v>
      </c>
      <c r="E279" s="205" t="s">
        <v>985</v>
      </c>
      <c r="F279" s="197" t="s">
        <v>987</v>
      </c>
      <c r="G279" s="197"/>
      <c r="H279" s="197" t="s">
        <v>78</v>
      </c>
      <c r="I279" s="198"/>
    </row>
    <row r="280" spans="1:9" x14ac:dyDescent="0.25">
      <c r="A280" s="236" t="s">
        <v>371</v>
      </c>
      <c r="B280" s="266" t="s">
        <v>62</v>
      </c>
      <c r="C280" s="265" t="s">
        <v>62</v>
      </c>
      <c r="D280" s="205" t="s">
        <v>985</v>
      </c>
      <c r="E280" s="205" t="s">
        <v>985</v>
      </c>
      <c r="F280" s="203" t="s">
        <v>985</v>
      </c>
      <c r="G280" s="197"/>
      <c r="H280" s="197" t="s">
        <v>36</v>
      </c>
      <c r="I280" s="198"/>
    </row>
    <row r="281" spans="1:9" x14ac:dyDescent="0.25">
      <c r="A281" s="324" t="s">
        <v>372</v>
      </c>
      <c r="B281" s="325" t="s">
        <v>105</v>
      </c>
      <c r="C281" s="326" t="s">
        <v>105</v>
      </c>
      <c r="D281" s="319" t="s">
        <v>985</v>
      </c>
      <c r="E281" s="319" t="s">
        <v>985</v>
      </c>
      <c r="F281" s="327" t="s">
        <v>985</v>
      </c>
      <c r="G281" s="321"/>
      <c r="H281" s="321" t="s">
        <v>28</v>
      </c>
      <c r="I281" s="322"/>
    </row>
    <row r="282" spans="1:9" x14ac:dyDescent="0.25">
      <c r="A282" s="236" t="s">
        <v>373</v>
      </c>
      <c r="B282" s="237" t="s">
        <v>105</v>
      </c>
      <c r="C282" s="234" t="s">
        <v>105</v>
      </c>
      <c r="D282" s="205" t="s">
        <v>985</v>
      </c>
      <c r="E282" s="205" t="s">
        <v>985</v>
      </c>
      <c r="F282" s="203" t="s">
        <v>985</v>
      </c>
      <c r="G282" s="197"/>
      <c r="H282" s="197" t="s">
        <v>28</v>
      </c>
      <c r="I282" s="198"/>
    </row>
    <row r="283" spans="1:9" x14ac:dyDescent="0.25">
      <c r="A283" s="236" t="s">
        <v>374</v>
      </c>
      <c r="B283" s="266" t="s">
        <v>62</v>
      </c>
      <c r="C283" s="265" t="s">
        <v>62</v>
      </c>
      <c r="D283" s="205" t="s">
        <v>985</v>
      </c>
      <c r="E283" s="205" t="s">
        <v>985</v>
      </c>
      <c r="F283" s="203" t="s">
        <v>985</v>
      </c>
      <c r="G283" s="197"/>
      <c r="H283" s="197" t="s">
        <v>31</v>
      </c>
      <c r="I283" s="198"/>
    </row>
    <row r="284" spans="1:9" x14ac:dyDescent="0.25">
      <c r="A284" s="199" t="s">
        <v>375</v>
      </c>
      <c r="B284" s="211" t="s">
        <v>51</v>
      </c>
      <c r="C284" s="207"/>
      <c r="D284" s="205" t="s">
        <v>985</v>
      </c>
      <c r="E284" s="205" t="s">
        <v>985</v>
      </c>
      <c r="F284" s="197" t="s">
        <v>987</v>
      </c>
      <c r="G284" s="197"/>
      <c r="H284" s="197" t="s">
        <v>95</v>
      </c>
      <c r="I284" s="198"/>
    </row>
    <row r="285" spans="1:9" x14ac:dyDescent="0.25">
      <c r="A285" s="287" t="s">
        <v>1017</v>
      </c>
      <c r="B285" s="257"/>
      <c r="C285" s="202" t="s">
        <v>51</v>
      </c>
      <c r="D285" s="257"/>
      <c r="E285" s="257"/>
      <c r="F285" s="280" t="s">
        <v>52</v>
      </c>
      <c r="G285" s="197"/>
      <c r="H285" s="197" t="s">
        <v>75</v>
      </c>
      <c r="I285" s="198"/>
    </row>
    <row r="286" spans="1:9" x14ac:dyDescent="0.25">
      <c r="A286" s="216" t="s">
        <v>376</v>
      </c>
      <c r="B286" s="211" t="s">
        <v>51</v>
      </c>
      <c r="C286" s="212" t="s">
        <v>51</v>
      </c>
      <c r="D286" s="205" t="s">
        <v>985</v>
      </c>
      <c r="E286" s="205" t="s">
        <v>985</v>
      </c>
      <c r="F286" s="203" t="s">
        <v>985</v>
      </c>
      <c r="G286" s="197"/>
      <c r="H286" s="197" t="s">
        <v>27</v>
      </c>
      <c r="I286" s="198"/>
    </row>
    <row r="287" spans="1:9" x14ac:dyDescent="0.25">
      <c r="A287" s="236" t="s">
        <v>377</v>
      </c>
      <c r="B287" s="221" t="s">
        <v>378</v>
      </c>
      <c r="C287" s="258" t="s">
        <v>378</v>
      </c>
      <c r="D287" s="205" t="s">
        <v>985</v>
      </c>
      <c r="E287" s="205" t="s">
        <v>985</v>
      </c>
      <c r="F287" s="203" t="s">
        <v>985</v>
      </c>
      <c r="G287" s="197" t="s">
        <v>985</v>
      </c>
      <c r="H287" s="197" t="s">
        <v>30</v>
      </c>
      <c r="I287" s="198"/>
    </row>
    <row r="288" spans="1:9" x14ac:dyDescent="0.25">
      <c r="A288" s="199" t="s">
        <v>379</v>
      </c>
      <c r="B288" s="200" t="s">
        <v>51</v>
      </c>
      <c r="C288" s="207"/>
      <c r="D288" s="205" t="s">
        <v>985</v>
      </c>
      <c r="E288" s="205" t="s">
        <v>985</v>
      </c>
      <c r="F288" s="197" t="s">
        <v>987</v>
      </c>
      <c r="G288" s="197"/>
      <c r="H288" s="197" t="s">
        <v>125</v>
      </c>
      <c r="I288" s="198"/>
    </row>
    <row r="289" spans="1:9" x14ac:dyDescent="0.25">
      <c r="A289" s="246" t="s">
        <v>380</v>
      </c>
      <c r="B289" s="237" t="s">
        <v>105</v>
      </c>
      <c r="C289" s="234" t="s">
        <v>105</v>
      </c>
      <c r="D289" s="205" t="s">
        <v>985</v>
      </c>
      <c r="E289" s="205" t="s">
        <v>985</v>
      </c>
      <c r="F289" s="203" t="s">
        <v>985</v>
      </c>
      <c r="G289" s="197"/>
      <c r="H289" s="197" t="s">
        <v>134</v>
      </c>
      <c r="I289" s="198"/>
    </row>
    <row r="290" spans="1:9" x14ac:dyDescent="0.25">
      <c r="A290" s="236" t="s">
        <v>381</v>
      </c>
      <c r="B290" s="237" t="s">
        <v>62</v>
      </c>
      <c r="C290" s="311" t="s">
        <v>62</v>
      </c>
      <c r="D290" s="205" t="s">
        <v>985</v>
      </c>
      <c r="E290" s="205" t="s">
        <v>985</v>
      </c>
      <c r="F290" s="203" t="s">
        <v>985</v>
      </c>
      <c r="G290" s="197"/>
      <c r="H290" s="197" t="s">
        <v>38</v>
      </c>
      <c r="I290" s="198"/>
    </row>
    <row r="291" spans="1:9" x14ac:dyDescent="0.25">
      <c r="A291" s="216" t="s">
        <v>382</v>
      </c>
      <c r="B291" s="220" t="s">
        <v>383</v>
      </c>
      <c r="C291" s="207"/>
      <c r="D291" s="205" t="s">
        <v>985</v>
      </c>
      <c r="E291" s="205" t="s">
        <v>985</v>
      </c>
      <c r="F291" s="197" t="s">
        <v>987</v>
      </c>
      <c r="G291" s="197" t="s">
        <v>985</v>
      </c>
      <c r="H291" s="197" t="s">
        <v>83</v>
      </c>
      <c r="I291" s="198"/>
    </row>
    <row r="292" spans="1:9" x14ac:dyDescent="0.25">
      <c r="A292" s="236" t="s">
        <v>384</v>
      </c>
      <c r="B292" s="200" t="s">
        <v>51</v>
      </c>
      <c r="C292" s="202" t="s">
        <v>983</v>
      </c>
      <c r="D292" s="205" t="s">
        <v>985</v>
      </c>
      <c r="E292" s="205" t="s">
        <v>985</v>
      </c>
      <c r="F292" s="203" t="s">
        <v>985</v>
      </c>
      <c r="G292" s="197"/>
      <c r="H292" s="197" t="s">
        <v>226</v>
      </c>
      <c r="I292" s="198"/>
    </row>
    <row r="293" spans="1:9" x14ac:dyDescent="0.25">
      <c r="A293" s="216" t="s">
        <v>385</v>
      </c>
      <c r="B293" s="200" t="s">
        <v>51</v>
      </c>
      <c r="C293" s="202" t="s">
        <v>51</v>
      </c>
      <c r="D293" s="205" t="s">
        <v>985</v>
      </c>
      <c r="E293" s="205" t="s">
        <v>985</v>
      </c>
      <c r="F293" s="203" t="s">
        <v>985</v>
      </c>
      <c r="G293" s="197"/>
      <c r="H293" s="197" t="s">
        <v>31</v>
      </c>
      <c r="I293" s="198"/>
    </row>
    <row r="294" spans="1:9" x14ac:dyDescent="0.25">
      <c r="A294" s="236" t="s">
        <v>386</v>
      </c>
      <c r="B294" s="266" t="s">
        <v>62</v>
      </c>
      <c r="C294" s="265" t="s">
        <v>62</v>
      </c>
      <c r="D294" s="205" t="s">
        <v>985</v>
      </c>
      <c r="E294" s="205" t="s">
        <v>985</v>
      </c>
      <c r="F294" s="203" t="s">
        <v>985</v>
      </c>
      <c r="G294" s="197"/>
      <c r="H294" s="197" t="s">
        <v>32</v>
      </c>
      <c r="I294" s="198"/>
    </row>
    <row r="295" spans="1:9" x14ac:dyDescent="0.25">
      <c r="A295" s="236" t="s">
        <v>387</v>
      </c>
      <c r="B295" s="237" t="s">
        <v>105</v>
      </c>
      <c r="C295" s="234" t="s">
        <v>105</v>
      </c>
      <c r="D295" s="205" t="s">
        <v>985</v>
      </c>
      <c r="E295" s="205" t="s">
        <v>985</v>
      </c>
      <c r="F295" s="203" t="s">
        <v>985</v>
      </c>
      <c r="G295" s="197"/>
      <c r="H295" s="197" t="s">
        <v>27</v>
      </c>
      <c r="I295" s="198"/>
    </row>
    <row r="296" spans="1:9" x14ac:dyDescent="0.25">
      <c r="A296" s="216" t="s">
        <v>388</v>
      </c>
      <c r="B296" s="220" t="s">
        <v>383</v>
      </c>
      <c r="C296" s="207"/>
      <c r="D296" s="205" t="s">
        <v>985</v>
      </c>
      <c r="E296" s="205" t="s">
        <v>985</v>
      </c>
      <c r="F296" s="197" t="s">
        <v>987</v>
      </c>
      <c r="G296" s="197" t="s">
        <v>985</v>
      </c>
      <c r="H296" s="197" t="s">
        <v>83</v>
      </c>
      <c r="I296" s="198"/>
    </row>
    <row r="297" spans="1:9" x14ac:dyDescent="0.25">
      <c r="A297" s="236" t="s">
        <v>389</v>
      </c>
      <c r="B297" s="266" t="s">
        <v>62</v>
      </c>
      <c r="C297" s="265" t="s">
        <v>62</v>
      </c>
      <c r="D297" s="205" t="s">
        <v>985</v>
      </c>
      <c r="E297" s="205" t="s">
        <v>985</v>
      </c>
      <c r="F297" s="203" t="s">
        <v>985</v>
      </c>
      <c r="G297" s="197"/>
      <c r="H297" s="197" t="s">
        <v>32</v>
      </c>
      <c r="I297" s="198"/>
    </row>
    <row r="298" spans="1:9" x14ac:dyDescent="0.25">
      <c r="A298" s="236" t="s">
        <v>390</v>
      </c>
      <c r="B298" s="237" t="s">
        <v>62</v>
      </c>
      <c r="C298" s="234" t="s">
        <v>62</v>
      </c>
      <c r="D298" s="205" t="s">
        <v>985</v>
      </c>
      <c r="E298" s="205" t="s">
        <v>985</v>
      </c>
      <c r="F298" s="203" t="s">
        <v>985</v>
      </c>
      <c r="G298" s="197"/>
      <c r="H298" s="197" t="s">
        <v>29</v>
      </c>
      <c r="I298" s="198"/>
    </row>
    <row r="299" spans="1:9" x14ac:dyDescent="0.25">
      <c r="A299" s="236" t="s">
        <v>391</v>
      </c>
      <c r="B299" s="237" t="s">
        <v>105</v>
      </c>
      <c r="C299" s="234" t="s">
        <v>105</v>
      </c>
      <c r="D299" s="205" t="s">
        <v>985</v>
      </c>
      <c r="E299" s="205" t="s">
        <v>985</v>
      </c>
      <c r="F299" s="203" t="s">
        <v>985</v>
      </c>
      <c r="G299" s="197"/>
      <c r="H299" s="197" t="s">
        <v>28</v>
      </c>
      <c r="I299" s="198"/>
    </row>
    <row r="300" spans="1:9" x14ac:dyDescent="0.25">
      <c r="A300" s="247" t="s">
        <v>392</v>
      </c>
      <c r="B300" s="283" t="s">
        <v>51</v>
      </c>
      <c r="C300" s="202" t="s">
        <v>51</v>
      </c>
      <c r="D300" s="205" t="s">
        <v>985</v>
      </c>
      <c r="E300" s="205" t="s">
        <v>985</v>
      </c>
      <c r="F300" s="203" t="s">
        <v>985</v>
      </c>
      <c r="G300" s="197"/>
      <c r="H300" s="197" t="s">
        <v>35</v>
      </c>
      <c r="I300" s="198"/>
    </row>
    <row r="301" spans="1:9" x14ac:dyDescent="0.25">
      <c r="A301" s="199" t="s">
        <v>393</v>
      </c>
      <c r="B301" s="200" t="s">
        <v>51</v>
      </c>
      <c r="C301" s="207"/>
      <c r="D301" s="205" t="s">
        <v>985</v>
      </c>
      <c r="E301" s="205" t="s">
        <v>985</v>
      </c>
      <c r="F301" s="197" t="s">
        <v>987</v>
      </c>
      <c r="G301" s="197"/>
      <c r="H301" s="197" t="s">
        <v>95</v>
      </c>
      <c r="I301" s="198"/>
    </row>
    <row r="302" spans="1:9" x14ac:dyDescent="0.25">
      <c r="A302" s="199" t="s">
        <v>394</v>
      </c>
      <c r="B302" s="204" t="s">
        <v>51</v>
      </c>
      <c r="C302" s="202" t="s">
        <v>51</v>
      </c>
      <c r="D302" s="210" t="s">
        <v>984</v>
      </c>
      <c r="E302" s="205" t="s">
        <v>985</v>
      </c>
      <c r="F302" s="203" t="s">
        <v>985</v>
      </c>
      <c r="G302" s="197"/>
      <c r="H302" s="197" t="s">
        <v>35</v>
      </c>
      <c r="I302" s="198"/>
    </row>
    <row r="303" spans="1:9" x14ac:dyDescent="0.25">
      <c r="A303" s="236" t="s">
        <v>395</v>
      </c>
      <c r="B303" s="237" t="s">
        <v>62</v>
      </c>
      <c r="C303" s="234" t="s">
        <v>62</v>
      </c>
      <c r="D303" s="205" t="s">
        <v>985</v>
      </c>
      <c r="E303" s="205" t="s">
        <v>985</v>
      </c>
      <c r="F303" s="203" t="s">
        <v>985</v>
      </c>
      <c r="G303" s="197"/>
      <c r="H303" s="197" t="s">
        <v>29</v>
      </c>
      <c r="I303" s="198"/>
    </row>
    <row r="304" spans="1:9" x14ac:dyDescent="0.25">
      <c r="A304" s="199" t="s">
        <v>396</v>
      </c>
      <c r="B304" s="213" t="s">
        <v>378</v>
      </c>
      <c r="C304" s="269" t="s">
        <v>378</v>
      </c>
      <c r="D304" s="205" t="s">
        <v>985</v>
      </c>
      <c r="E304" s="205" t="s">
        <v>985</v>
      </c>
      <c r="F304" s="205" t="s">
        <v>985</v>
      </c>
      <c r="G304" s="197" t="s">
        <v>985</v>
      </c>
      <c r="H304" s="197" t="s">
        <v>30</v>
      </c>
      <c r="I304" s="198"/>
    </row>
    <row r="305" spans="1:9" x14ac:dyDescent="0.25">
      <c r="A305" s="199" t="s">
        <v>397</v>
      </c>
      <c r="B305" s="200" t="s">
        <v>51</v>
      </c>
      <c r="C305" s="255" t="s">
        <v>51</v>
      </c>
      <c r="D305" s="205" t="s">
        <v>985</v>
      </c>
      <c r="E305" s="205" t="s">
        <v>985</v>
      </c>
      <c r="F305" s="203" t="s">
        <v>985</v>
      </c>
      <c r="G305" s="197"/>
      <c r="H305" s="197" t="s">
        <v>28</v>
      </c>
      <c r="I305" s="198"/>
    </row>
    <row r="306" spans="1:9" x14ac:dyDescent="0.25">
      <c r="A306" s="199" t="s">
        <v>398</v>
      </c>
      <c r="B306" s="237" t="s">
        <v>62</v>
      </c>
      <c r="C306" s="265" t="s">
        <v>62</v>
      </c>
      <c r="D306" s="281" t="s">
        <v>52</v>
      </c>
      <c r="E306" s="281" t="s">
        <v>52</v>
      </c>
      <c r="F306" s="280" t="s">
        <v>52</v>
      </c>
      <c r="G306" s="197"/>
      <c r="H306" s="197" t="s">
        <v>64</v>
      </c>
      <c r="I306" s="198"/>
    </row>
    <row r="307" spans="1:9" x14ac:dyDescent="0.25">
      <c r="A307" s="216" t="s">
        <v>400</v>
      </c>
      <c r="B307" s="238" t="s">
        <v>286</v>
      </c>
      <c r="C307" s="228" t="s">
        <v>286</v>
      </c>
      <c r="D307" s="205" t="s">
        <v>985</v>
      </c>
      <c r="E307" s="205" t="s">
        <v>985</v>
      </c>
      <c r="F307" s="203" t="s">
        <v>985</v>
      </c>
      <c r="G307" s="197" t="s">
        <v>985</v>
      </c>
      <c r="H307" s="197" t="s">
        <v>78</v>
      </c>
      <c r="I307" s="198"/>
    </row>
    <row r="308" spans="1:9" x14ac:dyDescent="0.25">
      <c r="A308" s="236" t="s">
        <v>401</v>
      </c>
      <c r="B308" s="266" t="s">
        <v>62</v>
      </c>
      <c r="C308" s="265" t="s">
        <v>62</v>
      </c>
      <c r="D308" s="205" t="s">
        <v>985</v>
      </c>
      <c r="E308" s="205" t="s">
        <v>985</v>
      </c>
      <c r="F308" s="203" t="s">
        <v>985</v>
      </c>
      <c r="G308" s="197"/>
      <c r="H308" s="197" t="s">
        <v>34</v>
      </c>
      <c r="I308" s="198"/>
    </row>
    <row r="309" spans="1:9" x14ac:dyDescent="0.25">
      <c r="A309" s="216" t="s">
        <v>402</v>
      </c>
      <c r="B309" s="217" t="s">
        <v>156</v>
      </c>
      <c r="C309" s="207"/>
      <c r="D309" s="205" t="s">
        <v>985</v>
      </c>
      <c r="E309" s="210" t="s">
        <v>52</v>
      </c>
      <c r="F309" s="197" t="s">
        <v>987</v>
      </c>
      <c r="G309" s="197"/>
      <c r="H309" s="197" t="s">
        <v>30</v>
      </c>
      <c r="I309" s="198"/>
    </row>
    <row r="310" spans="1:9" x14ac:dyDescent="0.25">
      <c r="A310" s="216" t="s">
        <v>403</v>
      </c>
      <c r="B310" s="213" t="s">
        <v>378</v>
      </c>
      <c r="C310" s="269" t="s">
        <v>378</v>
      </c>
      <c r="D310" s="205" t="s">
        <v>985</v>
      </c>
      <c r="E310" s="205" t="s">
        <v>985</v>
      </c>
      <c r="F310" s="203" t="s">
        <v>985</v>
      </c>
      <c r="G310" s="197" t="s">
        <v>985</v>
      </c>
      <c r="H310" s="197" t="s">
        <v>30</v>
      </c>
      <c r="I310" s="198"/>
    </row>
    <row r="311" spans="1:9" x14ac:dyDescent="0.25">
      <c r="A311" s="199" t="s">
        <v>404</v>
      </c>
      <c r="B311" s="200" t="s">
        <v>51</v>
      </c>
      <c r="C311" s="212" t="s">
        <v>983</v>
      </c>
      <c r="D311" s="205" t="s">
        <v>985</v>
      </c>
      <c r="E311" s="205" t="s">
        <v>985</v>
      </c>
      <c r="F311" s="203" t="s">
        <v>985</v>
      </c>
      <c r="G311" s="197"/>
      <c r="H311" s="197" t="s">
        <v>121</v>
      </c>
      <c r="I311" s="198"/>
    </row>
    <row r="312" spans="1:9" x14ac:dyDescent="0.25">
      <c r="A312" s="236" t="s">
        <v>405</v>
      </c>
      <c r="B312" s="237" t="s">
        <v>62</v>
      </c>
      <c r="C312" s="234" t="s">
        <v>62</v>
      </c>
      <c r="D312" s="205" t="s">
        <v>985</v>
      </c>
      <c r="E312" s="205" t="s">
        <v>985</v>
      </c>
      <c r="F312" s="203" t="s">
        <v>985</v>
      </c>
      <c r="G312" s="197"/>
      <c r="H312" s="197" t="s">
        <v>29</v>
      </c>
      <c r="I312" s="198"/>
    </row>
    <row r="313" spans="1:9" x14ac:dyDescent="0.25">
      <c r="A313" s="216" t="s">
        <v>406</v>
      </c>
      <c r="B313" s="217" t="s">
        <v>57</v>
      </c>
      <c r="C313" s="207"/>
      <c r="D313" s="205" t="s">
        <v>985</v>
      </c>
      <c r="E313" s="210" t="s">
        <v>52</v>
      </c>
      <c r="F313" s="197" t="s">
        <v>987</v>
      </c>
      <c r="G313" s="197"/>
      <c r="H313" s="197" t="s">
        <v>83</v>
      </c>
      <c r="I313" s="198"/>
    </row>
    <row r="314" spans="1:9" x14ac:dyDescent="0.25">
      <c r="A314" s="236" t="s">
        <v>407</v>
      </c>
      <c r="B314" s="266" t="s">
        <v>62</v>
      </c>
      <c r="C314" s="265" t="s">
        <v>62</v>
      </c>
      <c r="D314" s="205" t="s">
        <v>985</v>
      </c>
      <c r="E314" s="205" t="s">
        <v>985</v>
      </c>
      <c r="F314" s="203" t="s">
        <v>985</v>
      </c>
      <c r="G314" s="197"/>
      <c r="H314" s="197" t="s">
        <v>31</v>
      </c>
      <c r="I314" s="198"/>
    </row>
    <row r="315" spans="1:9" x14ac:dyDescent="0.25">
      <c r="A315" s="216" t="s">
        <v>408</v>
      </c>
      <c r="B315" s="213" t="s">
        <v>57</v>
      </c>
      <c r="C315" s="207"/>
      <c r="D315" s="205" t="s">
        <v>985</v>
      </c>
      <c r="E315" s="205" t="s">
        <v>985</v>
      </c>
      <c r="F315" s="197" t="s">
        <v>987</v>
      </c>
      <c r="G315" s="197"/>
      <c r="H315" s="197" t="s">
        <v>136</v>
      </c>
      <c r="I315" s="198"/>
    </row>
    <row r="316" spans="1:9" x14ac:dyDescent="0.25">
      <c r="A316" s="216" t="s">
        <v>410</v>
      </c>
      <c r="B316" s="217" t="s">
        <v>57</v>
      </c>
      <c r="C316" s="207"/>
      <c r="D316" s="205" t="s">
        <v>985</v>
      </c>
      <c r="E316" s="210" t="s">
        <v>52</v>
      </c>
      <c r="F316" s="197" t="s">
        <v>987</v>
      </c>
      <c r="G316" s="197"/>
      <c r="H316" s="197" t="s">
        <v>83</v>
      </c>
      <c r="I316" s="198"/>
    </row>
    <row r="317" spans="1:9" x14ac:dyDescent="0.25">
      <c r="A317" s="199" t="s">
        <v>411</v>
      </c>
      <c r="B317" s="200" t="s">
        <v>51</v>
      </c>
      <c r="C317" s="202" t="s">
        <v>51</v>
      </c>
      <c r="D317" s="205" t="s">
        <v>985</v>
      </c>
      <c r="E317" s="205" t="s">
        <v>985</v>
      </c>
      <c r="F317" s="203" t="s">
        <v>985</v>
      </c>
      <c r="G317" s="197"/>
      <c r="H317" s="197" t="s">
        <v>35</v>
      </c>
      <c r="I317" s="198"/>
    </row>
    <row r="318" spans="1:9" x14ac:dyDescent="0.25">
      <c r="A318" s="274" t="s">
        <v>412</v>
      </c>
      <c r="B318" s="200" t="s">
        <v>413</v>
      </c>
      <c r="C318" s="212" t="s">
        <v>286</v>
      </c>
      <c r="D318" s="205" t="s">
        <v>985</v>
      </c>
      <c r="E318" s="205" t="s">
        <v>985</v>
      </c>
      <c r="F318" s="203" t="s">
        <v>985</v>
      </c>
      <c r="G318" s="197"/>
      <c r="H318" s="197" t="s">
        <v>35</v>
      </c>
      <c r="I318" s="198"/>
    </row>
    <row r="319" spans="1:9" x14ac:dyDescent="0.25">
      <c r="A319" s="236" t="s">
        <v>414</v>
      </c>
      <c r="B319" s="237" t="s">
        <v>105</v>
      </c>
      <c r="C319" s="234" t="s">
        <v>105</v>
      </c>
      <c r="D319" s="205" t="s">
        <v>985</v>
      </c>
      <c r="E319" s="205" t="s">
        <v>985</v>
      </c>
      <c r="F319" s="203" t="s">
        <v>985</v>
      </c>
      <c r="G319" s="197"/>
      <c r="H319" s="197" t="s">
        <v>28</v>
      </c>
      <c r="I319" s="198"/>
    </row>
    <row r="320" spans="1:9" x14ac:dyDescent="0.25">
      <c r="A320" s="236" t="s">
        <v>415</v>
      </c>
      <c r="B320" s="266" t="s">
        <v>105</v>
      </c>
      <c r="C320" s="265" t="s">
        <v>105</v>
      </c>
      <c r="D320" s="205" t="s">
        <v>985</v>
      </c>
      <c r="E320" s="205" t="s">
        <v>985</v>
      </c>
      <c r="F320" s="203" t="s">
        <v>985</v>
      </c>
      <c r="G320" s="197"/>
      <c r="H320" s="197" t="s">
        <v>35</v>
      </c>
      <c r="I320" s="198"/>
    </row>
    <row r="321" spans="1:9" x14ac:dyDescent="0.25">
      <c r="A321" s="216" t="s">
        <v>416</v>
      </c>
      <c r="B321" s="209" t="s">
        <v>51</v>
      </c>
      <c r="C321" s="207"/>
      <c r="D321" s="205" t="s">
        <v>985</v>
      </c>
      <c r="E321" s="210" t="s">
        <v>52</v>
      </c>
      <c r="F321" s="197" t="s">
        <v>987</v>
      </c>
      <c r="G321" s="197"/>
      <c r="H321" s="197" t="s">
        <v>168</v>
      </c>
      <c r="I321" s="198"/>
    </row>
    <row r="322" spans="1:9" x14ac:dyDescent="0.25">
      <c r="A322" s="236" t="s">
        <v>417</v>
      </c>
      <c r="B322" s="237" t="s">
        <v>62</v>
      </c>
      <c r="C322" s="311" t="s">
        <v>62</v>
      </c>
      <c r="D322" s="205" t="s">
        <v>985</v>
      </c>
      <c r="E322" s="205" t="s">
        <v>985</v>
      </c>
      <c r="F322" s="203" t="s">
        <v>985</v>
      </c>
      <c r="G322" s="197"/>
      <c r="H322" s="197" t="s">
        <v>37</v>
      </c>
      <c r="I322" s="198"/>
    </row>
    <row r="323" spans="1:9" x14ac:dyDescent="0.25">
      <c r="A323" s="236" t="s">
        <v>418</v>
      </c>
      <c r="B323" s="237" t="s">
        <v>62</v>
      </c>
      <c r="C323" s="234" t="s">
        <v>62</v>
      </c>
      <c r="D323" s="205" t="s">
        <v>985</v>
      </c>
      <c r="E323" s="205" t="s">
        <v>985</v>
      </c>
      <c r="F323" s="203" t="s">
        <v>985</v>
      </c>
      <c r="G323" s="197"/>
      <c r="H323" s="197" t="s">
        <v>29</v>
      </c>
      <c r="I323" s="198"/>
    </row>
    <row r="324" spans="1:9" x14ac:dyDescent="0.25">
      <c r="A324" s="199" t="s">
        <v>419</v>
      </c>
      <c r="B324" s="213" t="s">
        <v>57</v>
      </c>
      <c r="C324" s="202" t="s">
        <v>983</v>
      </c>
      <c r="D324" s="205" t="s">
        <v>985</v>
      </c>
      <c r="E324" s="205" t="s">
        <v>985</v>
      </c>
      <c r="F324" s="203" t="s">
        <v>985</v>
      </c>
      <c r="G324" s="197"/>
      <c r="H324" s="197" t="s">
        <v>78</v>
      </c>
      <c r="I324" s="198"/>
    </row>
    <row r="325" spans="1:9" x14ac:dyDescent="0.25">
      <c r="A325" s="236" t="s">
        <v>420</v>
      </c>
      <c r="B325" s="266" t="s">
        <v>62</v>
      </c>
      <c r="C325" s="265" t="s">
        <v>62</v>
      </c>
      <c r="D325" s="205" t="s">
        <v>985</v>
      </c>
      <c r="E325" s="205" t="s">
        <v>985</v>
      </c>
      <c r="F325" s="203" t="s">
        <v>985</v>
      </c>
      <c r="G325" s="197"/>
      <c r="H325" s="197" t="s">
        <v>36</v>
      </c>
      <c r="I325" s="198"/>
    </row>
    <row r="326" spans="1:9" x14ac:dyDescent="0.25">
      <c r="A326" s="236" t="s">
        <v>421</v>
      </c>
      <c r="B326" s="266" t="s">
        <v>62</v>
      </c>
      <c r="C326" s="265" t="s">
        <v>62</v>
      </c>
      <c r="D326" s="205" t="s">
        <v>985</v>
      </c>
      <c r="E326" s="205" t="s">
        <v>985</v>
      </c>
      <c r="F326" s="203" t="s">
        <v>985</v>
      </c>
      <c r="G326" s="197"/>
      <c r="H326" s="197" t="s">
        <v>36</v>
      </c>
      <c r="I326" s="198"/>
    </row>
    <row r="327" spans="1:9" x14ac:dyDescent="0.25">
      <c r="A327" s="199" t="s">
        <v>422</v>
      </c>
      <c r="B327" s="200" t="s">
        <v>57</v>
      </c>
      <c r="C327" s="215" t="s">
        <v>983</v>
      </c>
      <c r="D327" s="205" t="s">
        <v>985</v>
      </c>
      <c r="E327" s="205" t="s">
        <v>174</v>
      </c>
      <c r="F327" s="203" t="s">
        <v>985</v>
      </c>
      <c r="G327" s="197"/>
      <c r="H327" s="197" t="s">
        <v>83</v>
      </c>
      <c r="I327" s="198"/>
    </row>
    <row r="328" spans="1:9" x14ac:dyDescent="0.25">
      <c r="A328" s="236" t="s">
        <v>423</v>
      </c>
      <c r="B328" s="237" t="s">
        <v>105</v>
      </c>
      <c r="C328" s="234" t="s">
        <v>105</v>
      </c>
      <c r="D328" s="205" t="s">
        <v>985</v>
      </c>
      <c r="E328" s="205" t="s">
        <v>985</v>
      </c>
      <c r="F328" s="205" t="s">
        <v>985</v>
      </c>
      <c r="G328" s="197"/>
      <c r="H328" s="197" t="s">
        <v>28</v>
      </c>
      <c r="I328" s="198"/>
    </row>
    <row r="329" spans="1:9" x14ac:dyDescent="0.25">
      <c r="A329" s="199" t="s">
        <v>424</v>
      </c>
      <c r="B329" s="200" t="s">
        <v>51</v>
      </c>
      <c r="C329" s="202" t="s">
        <v>983</v>
      </c>
      <c r="D329" s="205" t="s">
        <v>985</v>
      </c>
      <c r="E329" s="205" t="s">
        <v>985</v>
      </c>
      <c r="F329" s="203" t="s">
        <v>985</v>
      </c>
      <c r="G329" s="197"/>
      <c r="H329" s="197" t="s">
        <v>121</v>
      </c>
      <c r="I329" s="198"/>
    </row>
    <row r="330" spans="1:9" x14ac:dyDescent="0.25">
      <c r="A330" s="287" t="s">
        <v>1018</v>
      </c>
      <c r="B330" s="200" t="s">
        <v>51</v>
      </c>
      <c r="C330" s="202" t="s">
        <v>983</v>
      </c>
      <c r="D330" s="281" t="s">
        <v>52</v>
      </c>
      <c r="E330" s="281" t="s">
        <v>52</v>
      </c>
      <c r="F330" s="280" t="s">
        <v>52</v>
      </c>
      <c r="G330" s="197"/>
      <c r="H330" s="197" t="s">
        <v>80</v>
      </c>
      <c r="I330" s="198"/>
    </row>
    <row r="331" spans="1:9" x14ac:dyDescent="0.25">
      <c r="A331" s="199" t="s">
        <v>426</v>
      </c>
      <c r="B331" s="200" t="s">
        <v>51</v>
      </c>
      <c r="C331" s="202" t="s">
        <v>983</v>
      </c>
      <c r="D331" s="205" t="s">
        <v>985</v>
      </c>
      <c r="E331" s="205" t="s">
        <v>985</v>
      </c>
      <c r="F331" s="203" t="s">
        <v>985</v>
      </c>
      <c r="G331" s="197"/>
      <c r="H331" s="197" t="s">
        <v>37</v>
      </c>
      <c r="I331" s="198"/>
    </row>
    <row r="332" spans="1:9" x14ac:dyDescent="0.25">
      <c r="A332" s="236" t="s">
        <v>427</v>
      </c>
      <c r="B332" s="237" t="s">
        <v>62</v>
      </c>
      <c r="C332" s="207"/>
      <c r="D332" s="205" t="s">
        <v>985</v>
      </c>
      <c r="E332" s="205" t="s">
        <v>985</v>
      </c>
      <c r="F332" s="257" t="s">
        <v>987</v>
      </c>
      <c r="G332" s="197"/>
      <c r="H332" s="197" t="s">
        <v>37</v>
      </c>
      <c r="I332" s="198"/>
    </row>
    <row r="333" spans="1:9" x14ac:dyDescent="0.25">
      <c r="A333" s="199" t="s">
        <v>428</v>
      </c>
      <c r="B333" s="200" t="s">
        <v>51</v>
      </c>
      <c r="C333" s="207"/>
      <c r="D333" s="205" t="s">
        <v>985</v>
      </c>
      <c r="E333" s="205" t="s">
        <v>985</v>
      </c>
      <c r="F333" s="197" t="s">
        <v>987</v>
      </c>
      <c r="G333" s="197"/>
      <c r="H333" s="197" t="s">
        <v>168</v>
      </c>
      <c r="I333" s="198"/>
    </row>
    <row r="334" spans="1:9" x14ac:dyDescent="0.25">
      <c r="A334" s="199" t="s">
        <v>1019</v>
      </c>
      <c r="B334" s="200" t="s">
        <v>51</v>
      </c>
      <c r="C334" s="202" t="s">
        <v>983</v>
      </c>
      <c r="D334" s="281" t="s">
        <v>52</v>
      </c>
      <c r="E334" s="281" t="s">
        <v>52</v>
      </c>
      <c r="F334" s="280" t="s">
        <v>52</v>
      </c>
      <c r="G334" s="197"/>
      <c r="H334" s="197" t="s">
        <v>80</v>
      </c>
      <c r="I334" s="198"/>
    </row>
    <row r="335" spans="1:9" x14ac:dyDescent="0.25">
      <c r="A335" s="199" t="s">
        <v>429</v>
      </c>
      <c r="B335" s="204" t="s">
        <v>51</v>
      </c>
      <c r="C335" s="207"/>
      <c r="D335" s="210" t="s">
        <v>984</v>
      </c>
      <c r="E335" s="205" t="s">
        <v>985</v>
      </c>
      <c r="F335" s="197" t="s">
        <v>987</v>
      </c>
      <c r="G335" s="197"/>
      <c r="H335" s="197" t="s">
        <v>121</v>
      </c>
      <c r="I335" s="198"/>
    </row>
    <row r="336" spans="1:9" x14ac:dyDescent="0.25">
      <c r="A336" s="199" t="s">
        <v>430</v>
      </c>
      <c r="B336" s="200" t="s">
        <v>51</v>
      </c>
      <c r="C336" s="207"/>
      <c r="D336" s="205" t="s">
        <v>985</v>
      </c>
      <c r="E336" s="205" t="s">
        <v>985</v>
      </c>
      <c r="F336" s="197" t="s">
        <v>987</v>
      </c>
      <c r="G336" s="197"/>
      <c r="H336" s="197" t="s">
        <v>75</v>
      </c>
      <c r="I336" s="198"/>
    </row>
    <row r="337" spans="1:9" x14ac:dyDescent="0.25">
      <c r="A337" s="287" t="s">
        <v>1020</v>
      </c>
      <c r="B337" s="204" t="s">
        <v>51</v>
      </c>
      <c r="C337" s="202" t="s">
        <v>983</v>
      </c>
      <c r="D337" s="210" t="s">
        <v>984</v>
      </c>
      <c r="E337" s="205" t="s">
        <v>985</v>
      </c>
      <c r="F337" s="203" t="s">
        <v>985</v>
      </c>
      <c r="G337" s="197"/>
      <c r="H337" s="197" t="s">
        <v>168</v>
      </c>
      <c r="I337" s="198"/>
    </row>
    <row r="338" spans="1:9" x14ac:dyDescent="0.25">
      <c r="A338" s="216" t="s">
        <v>431</v>
      </c>
      <c r="B338" s="200" t="s">
        <v>51</v>
      </c>
      <c r="C338" s="207"/>
      <c r="D338" s="205" t="s">
        <v>985</v>
      </c>
      <c r="E338" s="205" t="s">
        <v>985</v>
      </c>
      <c r="F338" s="197" t="s">
        <v>987</v>
      </c>
      <c r="G338" s="197"/>
      <c r="H338" s="197" t="s">
        <v>27</v>
      </c>
      <c r="I338" s="198"/>
    </row>
    <row r="339" spans="1:9" x14ac:dyDescent="0.25">
      <c r="A339" s="199" t="s">
        <v>432</v>
      </c>
      <c r="B339" s="200" t="s">
        <v>51</v>
      </c>
      <c r="C339" s="202" t="s">
        <v>51</v>
      </c>
      <c r="D339" s="205" t="s">
        <v>985</v>
      </c>
      <c r="E339" s="205" t="s">
        <v>985</v>
      </c>
      <c r="F339" s="203" t="s">
        <v>985</v>
      </c>
      <c r="G339" s="197"/>
      <c r="H339" s="197" t="s">
        <v>27</v>
      </c>
      <c r="I339" s="198"/>
    </row>
    <row r="340" spans="1:9" x14ac:dyDescent="0.25">
      <c r="A340" s="199" t="s">
        <v>433</v>
      </c>
      <c r="B340" s="200" t="s">
        <v>51</v>
      </c>
      <c r="C340" s="202" t="s">
        <v>51</v>
      </c>
      <c r="D340" s="205" t="s">
        <v>985</v>
      </c>
      <c r="E340" s="205" t="s">
        <v>985</v>
      </c>
      <c r="F340" s="203" t="s">
        <v>985</v>
      </c>
      <c r="G340" s="197"/>
      <c r="H340" s="197" t="s">
        <v>31</v>
      </c>
      <c r="I340" s="198"/>
    </row>
    <row r="341" spans="1:9" x14ac:dyDescent="0.25">
      <c r="A341" s="236" t="s">
        <v>434</v>
      </c>
      <c r="B341" s="237" t="s">
        <v>62</v>
      </c>
      <c r="C341" s="207"/>
      <c r="D341" s="205" t="s">
        <v>985</v>
      </c>
      <c r="E341" s="205" t="s">
        <v>985</v>
      </c>
      <c r="F341" s="197" t="s">
        <v>987</v>
      </c>
      <c r="G341" s="197"/>
      <c r="H341" s="197" t="s">
        <v>38</v>
      </c>
      <c r="I341" s="198"/>
    </row>
    <row r="342" spans="1:9" x14ac:dyDescent="0.25">
      <c r="A342" s="236" t="s">
        <v>435</v>
      </c>
      <c r="B342" s="237" t="s">
        <v>62</v>
      </c>
      <c r="C342" s="311" t="s">
        <v>62</v>
      </c>
      <c r="D342" s="205" t="s">
        <v>985</v>
      </c>
      <c r="E342" s="205" t="s">
        <v>985</v>
      </c>
      <c r="F342" s="203" t="s">
        <v>985</v>
      </c>
      <c r="G342" s="197"/>
      <c r="H342" s="197" t="s">
        <v>38</v>
      </c>
      <c r="I342" s="198"/>
    </row>
    <row r="343" spans="1:9" x14ac:dyDescent="0.25">
      <c r="A343" s="236" t="s">
        <v>436</v>
      </c>
      <c r="B343" s="266" t="s">
        <v>105</v>
      </c>
      <c r="C343" s="265" t="s">
        <v>105</v>
      </c>
      <c r="D343" s="205" t="s">
        <v>985</v>
      </c>
      <c r="E343" s="205" t="s">
        <v>985</v>
      </c>
      <c r="F343" s="203" t="s">
        <v>985</v>
      </c>
      <c r="G343" s="197"/>
      <c r="H343" s="197" t="s">
        <v>34</v>
      </c>
      <c r="I343" s="198"/>
    </row>
    <row r="344" spans="1:9" x14ac:dyDescent="0.25">
      <c r="A344" s="236" t="s">
        <v>437</v>
      </c>
      <c r="B344" s="237" t="s">
        <v>62</v>
      </c>
      <c r="C344" s="207"/>
      <c r="D344" s="205" t="s">
        <v>985</v>
      </c>
      <c r="E344" s="205" t="s">
        <v>985</v>
      </c>
      <c r="F344" s="197" t="s">
        <v>987</v>
      </c>
      <c r="G344" s="197"/>
      <c r="H344" s="197" t="s">
        <v>37</v>
      </c>
      <c r="I344" s="198"/>
    </row>
    <row r="345" spans="1:9" x14ac:dyDescent="0.25">
      <c r="A345" s="236" t="s">
        <v>438</v>
      </c>
      <c r="B345" s="237" t="s">
        <v>62</v>
      </c>
      <c r="C345" s="311" t="s">
        <v>62</v>
      </c>
      <c r="D345" s="205" t="s">
        <v>985</v>
      </c>
      <c r="E345" s="205" t="s">
        <v>985</v>
      </c>
      <c r="F345" s="203" t="s">
        <v>985</v>
      </c>
      <c r="G345" s="197"/>
      <c r="H345" s="197" t="s">
        <v>38</v>
      </c>
      <c r="I345" s="198"/>
    </row>
    <row r="346" spans="1:9" x14ac:dyDescent="0.25">
      <c r="A346" s="199" t="s">
        <v>439</v>
      </c>
      <c r="B346" s="211" t="s">
        <v>51</v>
      </c>
      <c r="C346" s="212" t="s">
        <v>983</v>
      </c>
      <c r="D346" s="205" t="s">
        <v>985</v>
      </c>
      <c r="E346" s="205" t="s">
        <v>985</v>
      </c>
      <c r="F346" s="203" t="s">
        <v>985</v>
      </c>
      <c r="G346" s="197"/>
      <c r="H346" s="197" t="s">
        <v>226</v>
      </c>
      <c r="I346" s="198"/>
    </row>
    <row r="347" spans="1:9" x14ac:dyDescent="0.25">
      <c r="A347" s="236" t="s">
        <v>440</v>
      </c>
      <c r="B347" s="237" t="s">
        <v>105</v>
      </c>
      <c r="C347" s="234" t="s">
        <v>105</v>
      </c>
      <c r="D347" s="205" t="s">
        <v>985</v>
      </c>
      <c r="E347" s="205" t="s">
        <v>985</v>
      </c>
      <c r="F347" s="203" t="s">
        <v>985</v>
      </c>
      <c r="G347" s="197"/>
      <c r="H347" s="197" t="s">
        <v>27</v>
      </c>
      <c r="I347" s="198"/>
    </row>
    <row r="348" spans="1:9" x14ac:dyDescent="0.25">
      <c r="A348" s="236" t="s">
        <v>441</v>
      </c>
      <c r="B348" s="266" t="s">
        <v>105</v>
      </c>
      <c r="C348" s="265" t="s">
        <v>105</v>
      </c>
      <c r="D348" s="205" t="s">
        <v>985</v>
      </c>
      <c r="E348" s="205" t="s">
        <v>985</v>
      </c>
      <c r="F348" s="203" t="s">
        <v>985</v>
      </c>
      <c r="G348" s="197"/>
      <c r="H348" s="197" t="s">
        <v>35</v>
      </c>
      <c r="I348" s="198"/>
    </row>
    <row r="349" spans="1:9" x14ac:dyDescent="0.25">
      <c r="A349" s="236" t="s">
        <v>442</v>
      </c>
      <c r="B349" s="266" t="s">
        <v>105</v>
      </c>
      <c r="C349" s="265" t="s">
        <v>105</v>
      </c>
      <c r="D349" s="205" t="s">
        <v>985</v>
      </c>
      <c r="E349" s="205" t="s">
        <v>985</v>
      </c>
      <c r="F349" s="205" t="s">
        <v>985</v>
      </c>
      <c r="G349" s="197"/>
      <c r="H349" s="197" t="s">
        <v>35</v>
      </c>
      <c r="I349" s="198"/>
    </row>
    <row r="350" spans="1:9" x14ac:dyDescent="0.25">
      <c r="A350" s="275" t="s">
        <v>443</v>
      </c>
      <c r="B350" s="277"/>
      <c r="C350" s="276"/>
      <c r="D350" s="205" t="s">
        <v>985</v>
      </c>
      <c r="E350" s="205" t="s">
        <v>985</v>
      </c>
      <c r="F350" s="197" t="s">
        <v>987</v>
      </c>
      <c r="G350" s="197"/>
      <c r="H350" s="197" t="s">
        <v>36</v>
      </c>
      <c r="I350" s="198"/>
    </row>
    <row r="351" spans="1:9" x14ac:dyDescent="0.25">
      <c r="A351" s="199" t="s">
        <v>444</v>
      </c>
      <c r="B351" s="213" t="s">
        <v>986</v>
      </c>
      <c r="C351" s="207"/>
      <c r="D351" s="281" t="s">
        <v>52</v>
      </c>
      <c r="E351" s="281" t="s">
        <v>52</v>
      </c>
      <c r="F351" s="280" t="s">
        <v>52</v>
      </c>
      <c r="G351" s="197"/>
      <c r="H351" s="197" t="s">
        <v>64</v>
      </c>
      <c r="I351" s="198"/>
    </row>
    <row r="352" spans="1:9" x14ac:dyDescent="0.25">
      <c r="A352" s="236" t="s">
        <v>445</v>
      </c>
      <c r="B352" s="266" t="s">
        <v>105</v>
      </c>
      <c r="C352" s="265" t="s">
        <v>105</v>
      </c>
      <c r="D352" s="205" t="s">
        <v>985</v>
      </c>
      <c r="E352" s="205" t="s">
        <v>985</v>
      </c>
      <c r="F352" s="203" t="s">
        <v>985</v>
      </c>
      <c r="G352" s="197"/>
      <c r="H352" s="197" t="s">
        <v>35</v>
      </c>
      <c r="I352" s="198"/>
    </row>
    <row r="353" spans="1:9" x14ac:dyDescent="0.25">
      <c r="A353" s="199" t="s">
        <v>446</v>
      </c>
      <c r="B353" s="211" t="s">
        <v>51</v>
      </c>
      <c r="C353" s="212" t="s">
        <v>983</v>
      </c>
      <c r="D353" s="210" t="s">
        <v>984</v>
      </c>
      <c r="E353" s="205" t="s">
        <v>985</v>
      </c>
      <c r="F353" s="203" t="s">
        <v>985</v>
      </c>
      <c r="G353" s="197"/>
      <c r="H353" s="197" t="s">
        <v>168</v>
      </c>
      <c r="I353" s="198"/>
    </row>
    <row r="354" spans="1:9" x14ac:dyDescent="0.25">
      <c r="A354" s="199" t="s">
        <v>447</v>
      </c>
      <c r="B354" s="217" t="s">
        <v>57</v>
      </c>
      <c r="C354" s="207"/>
      <c r="D354" s="205" t="s">
        <v>985</v>
      </c>
      <c r="E354" s="210" t="s">
        <v>52</v>
      </c>
      <c r="F354" s="257" t="s">
        <v>987</v>
      </c>
      <c r="G354" s="197"/>
      <c r="H354" s="197" t="s">
        <v>83</v>
      </c>
      <c r="I354" s="198"/>
    </row>
    <row r="355" spans="1:9" x14ac:dyDescent="0.25">
      <c r="A355" s="236" t="s">
        <v>448</v>
      </c>
      <c r="B355" s="266" t="s">
        <v>62</v>
      </c>
      <c r="C355" s="265" t="s">
        <v>62</v>
      </c>
      <c r="D355" s="205" t="s">
        <v>985</v>
      </c>
      <c r="E355" s="205" t="s">
        <v>985</v>
      </c>
      <c r="F355" s="203" t="s">
        <v>985</v>
      </c>
      <c r="G355" s="197"/>
      <c r="H355" s="197" t="s">
        <v>36</v>
      </c>
      <c r="I355" s="198"/>
    </row>
    <row r="356" spans="1:9" x14ac:dyDescent="0.25">
      <c r="A356" s="199" t="s">
        <v>449</v>
      </c>
      <c r="B356" s="200" t="s">
        <v>51</v>
      </c>
      <c r="C356" s="226"/>
      <c r="D356" s="281" t="s">
        <v>52</v>
      </c>
      <c r="E356" s="281" t="s">
        <v>52</v>
      </c>
      <c r="F356" s="280" t="s">
        <v>52</v>
      </c>
      <c r="G356" s="197"/>
      <c r="H356" s="197" t="s">
        <v>75</v>
      </c>
      <c r="I356" s="198"/>
    </row>
    <row r="357" spans="1:9" x14ac:dyDescent="0.25">
      <c r="A357" s="236" t="s">
        <v>450</v>
      </c>
      <c r="B357" s="266" t="s">
        <v>62</v>
      </c>
      <c r="C357" s="265" t="s">
        <v>62</v>
      </c>
      <c r="D357" s="205" t="s">
        <v>985</v>
      </c>
      <c r="E357" s="205" t="s">
        <v>985</v>
      </c>
      <c r="F357" s="203" t="s">
        <v>985</v>
      </c>
      <c r="G357" s="197"/>
      <c r="H357" s="197" t="s">
        <v>36</v>
      </c>
      <c r="I357" s="198"/>
    </row>
    <row r="358" spans="1:9" x14ac:dyDescent="0.25">
      <c r="A358" s="236" t="s">
        <v>451</v>
      </c>
      <c r="B358" s="266" t="s">
        <v>62</v>
      </c>
      <c r="C358" s="265" t="s">
        <v>62</v>
      </c>
      <c r="D358" s="205" t="s">
        <v>985</v>
      </c>
      <c r="E358" s="205" t="s">
        <v>985</v>
      </c>
      <c r="F358" s="203" t="s">
        <v>985</v>
      </c>
      <c r="G358" s="197"/>
      <c r="H358" s="197" t="s">
        <v>32</v>
      </c>
      <c r="I358" s="198"/>
    </row>
    <row r="359" spans="1:9" x14ac:dyDescent="0.25">
      <c r="A359" s="236" t="s">
        <v>452</v>
      </c>
      <c r="B359" s="266" t="s">
        <v>62</v>
      </c>
      <c r="C359" s="266" t="s">
        <v>62</v>
      </c>
      <c r="D359" s="256" t="s">
        <v>985</v>
      </c>
      <c r="E359" s="256" t="s">
        <v>985</v>
      </c>
      <c r="F359" s="201" t="s">
        <v>985</v>
      </c>
      <c r="G359" s="207"/>
      <c r="H359" s="197" t="s">
        <v>36</v>
      </c>
      <c r="I359" s="198"/>
    </row>
    <row r="360" spans="1:9" x14ac:dyDescent="0.25">
      <c r="A360" s="199" t="s">
        <v>453</v>
      </c>
      <c r="B360" s="269" t="s">
        <v>57</v>
      </c>
      <c r="C360" s="257"/>
      <c r="D360" s="203" t="s">
        <v>985</v>
      </c>
      <c r="E360" s="203" t="s">
        <v>985</v>
      </c>
      <c r="F360" s="257" t="s">
        <v>987</v>
      </c>
      <c r="G360" s="207"/>
      <c r="H360" s="197" t="s">
        <v>136</v>
      </c>
      <c r="I360" s="198"/>
    </row>
    <row r="361" spans="1:9" x14ac:dyDescent="0.25">
      <c r="A361" s="236" t="s">
        <v>454</v>
      </c>
      <c r="B361" s="265" t="s">
        <v>62</v>
      </c>
      <c r="C361" s="266" t="s">
        <v>62</v>
      </c>
      <c r="D361" s="203" t="s">
        <v>985</v>
      </c>
      <c r="E361" s="203" t="s">
        <v>985</v>
      </c>
      <c r="F361" s="205" t="s">
        <v>985</v>
      </c>
      <c r="G361" s="207"/>
      <c r="H361" s="197" t="s">
        <v>31</v>
      </c>
      <c r="I361" s="198"/>
    </row>
    <row r="362" spans="1:9" x14ac:dyDescent="0.25">
      <c r="A362" s="236" t="s">
        <v>455</v>
      </c>
      <c r="B362" s="265" t="s">
        <v>62</v>
      </c>
      <c r="C362" s="266" t="s">
        <v>62</v>
      </c>
      <c r="D362" s="203" t="s">
        <v>985</v>
      </c>
      <c r="E362" s="203" t="s">
        <v>985</v>
      </c>
      <c r="F362" s="205" t="s">
        <v>985</v>
      </c>
      <c r="G362" s="197"/>
      <c r="H362" s="197" t="s">
        <v>32</v>
      </c>
      <c r="I362" s="198"/>
    </row>
    <row r="363" spans="1:9" x14ac:dyDescent="0.25">
      <c r="A363" s="236" t="s">
        <v>456</v>
      </c>
      <c r="B363" s="265" t="s">
        <v>62</v>
      </c>
      <c r="C363" s="266" t="s">
        <v>62</v>
      </c>
      <c r="D363" s="203" t="s">
        <v>985</v>
      </c>
      <c r="E363" s="203" t="s">
        <v>985</v>
      </c>
      <c r="F363" s="203" t="s">
        <v>985</v>
      </c>
      <c r="G363" s="207"/>
      <c r="H363" s="197" t="s">
        <v>31</v>
      </c>
      <c r="I363" s="198"/>
    </row>
    <row r="364" spans="1:9" x14ac:dyDescent="0.25">
      <c r="A364" s="199" t="s">
        <v>457</v>
      </c>
      <c r="B364" s="293" t="s">
        <v>458</v>
      </c>
      <c r="C364" s="289" t="s">
        <v>119</v>
      </c>
      <c r="D364" s="203" t="s">
        <v>985</v>
      </c>
      <c r="E364" s="203" t="s">
        <v>985</v>
      </c>
      <c r="F364" s="205" t="s">
        <v>985</v>
      </c>
      <c r="G364" s="207" t="s">
        <v>985</v>
      </c>
      <c r="H364" s="197" t="s">
        <v>168</v>
      </c>
      <c r="I364" s="198"/>
    </row>
    <row r="365" spans="1:9" x14ac:dyDescent="0.25">
      <c r="A365" s="199" t="s">
        <v>459</v>
      </c>
      <c r="B365" s="255" t="s">
        <v>51</v>
      </c>
      <c r="C365" s="283" t="s">
        <v>989</v>
      </c>
      <c r="D365" s="280" t="s">
        <v>52</v>
      </c>
      <c r="E365" s="280" t="s">
        <v>52</v>
      </c>
      <c r="F365" s="281" t="s">
        <v>52</v>
      </c>
      <c r="G365" s="207"/>
      <c r="H365" s="197" t="s">
        <v>75</v>
      </c>
      <c r="I365" s="198"/>
    </row>
    <row r="366" spans="1:9" x14ac:dyDescent="0.25">
      <c r="A366" s="216" t="s">
        <v>460</v>
      </c>
      <c r="B366" s="261" t="s">
        <v>57</v>
      </c>
      <c r="C366" s="273" t="s">
        <v>983</v>
      </c>
      <c r="D366" s="260" t="s">
        <v>984</v>
      </c>
      <c r="E366" s="203" t="s">
        <v>985</v>
      </c>
      <c r="F366" s="205" t="s">
        <v>985</v>
      </c>
      <c r="G366" s="207"/>
      <c r="H366" s="197" t="s">
        <v>83</v>
      </c>
      <c r="I366" s="198"/>
    </row>
    <row r="367" spans="1:9" x14ac:dyDescent="0.25">
      <c r="A367" s="236" t="s">
        <v>461</v>
      </c>
      <c r="B367" s="234" t="s">
        <v>62</v>
      </c>
      <c r="C367" s="282" t="s">
        <v>62</v>
      </c>
      <c r="D367" s="203" t="s">
        <v>985</v>
      </c>
      <c r="E367" s="203" t="s">
        <v>985</v>
      </c>
      <c r="F367" s="205" t="s">
        <v>985</v>
      </c>
      <c r="G367" s="207"/>
      <c r="H367" s="197" t="s">
        <v>38</v>
      </c>
      <c r="I367" s="198"/>
    </row>
    <row r="368" spans="1:9" x14ac:dyDescent="0.25">
      <c r="A368" s="199" t="s">
        <v>462</v>
      </c>
      <c r="B368" s="234" t="s">
        <v>62</v>
      </c>
      <c r="C368" s="282" t="s">
        <v>62</v>
      </c>
      <c r="D368" s="203" t="s">
        <v>985</v>
      </c>
      <c r="E368" s="203" t="s">
        <v>985</v>
      </c>
      <c r="F368" s="205" t="s">
        <v>985</v>
      </c>
      <c r="G368" s="207"/>
      <c r="H368" s="197" t="s">
        <v>38</v>
      </c>
      <c r="I368" s="198"/>
    </row>
    <row r="369" spans="1:9" x14ac:dyDescent="0.25">
      <c r="A369" s="236" t="s">
        <v>463</v>
      </c>
      <c r="B369" s="234" t="s">
        <v>62</v>
      </c>
      <c r="C369" s="282" t="s">
        <v>62</v>
      </c>
      <c r="D369" s="203" t="s">
        <v>985</v>
      </c>
      <c r="E369" s="203" t="s">
        <v>985</v>
      </c>
      <c r="F369" s="205" t="s">
        <v>985</v>
      </c>
      <c r="G369" s="207"/>
      <c r="H369" s="197" t="s">
        <v>38</v>
      </c>
      <c r="I369" s="198"/>
    </row>
    <row r="370" spans="1:9" x14ac:dyDescent="0.25">
      <c r="A370" s="236" t="s">
        <v>464</v>
      </c>
      <c r="B370" s="234" t="s">
        <v>62</v>
      </c>
      <c r="C370" s="237" t="s">
        <v>62</v>
      </c>
      <c r="D370" s="203" t="s">
        <v>985</v>
      </c>
      <c r="E370" s="203" t="s">
        <v>985</v>
      </c>
      <c r="F370" s="205" t="s">
        <v>985</v>
      </c>
      <c r="G370" s="207"/>
      <c r="H370" s="197" t="s">
        <v>38</v>
      </c>
      <c r="I370" s="198"/>
    </row>
    <row r="371" spans="1:9" x14ac:dyDescent="0.25">
      <c r="A371" s="236" t="s">
        <v>465</v>
      </c>
      <c r="B371" s="265" t="s">
        <v>62</v>
      </c>
      <c r="C371" s="266" t="s">
        <v>62</v>
      </c>
      <c r="D371" s="203" t="s">
        <v>985</v>
      </c>
      <c r="E371" s="203" t="s">
        <v>985</v>
      </c>
      <c r="F371" s="205" t="s">
        <v>985</v>
      </c>
      <c r="G371" s="207"/>
      <c r="H371" s="197" t="s">
        <v>33</v>
      </c>
      <c r="I371" s="198"/>
    </row>
    <row r="372" spans="1:9" x14ac:dyDescent="0.25">
      <c r="A372" s="216" t="s">
        <v>466</v>
      </c>
      <c r="B372" s="255" t="s">
        <v>51</v>
      </c>
      <c r="C372" s="257"/>
      <c r="D372" s="203" t="s">
        <v>985</v>
      </c>
      <c r="E372" s="203" t="s">
        <v>985</v>
      </c>
      <c r="F372" s="257" t="s">
        <v>987</v>
      </c>
      <c r="G372" s="207"/>
      <c r="H372" s="197" t="s">
        <v>27</v>
      </c>
      <c r="I372" s="198"/>
    </row>
    <row r="373" spans="1:9" x14ac:dyDescent="0.25">
      <c r="A373" s="199" t="s">
        <v>467</v>
      </c>
      <c r="B373" s="269" t="s">
        <v>57</v>
      </c>
      <c r="C373" s="262" t="s">
        <v>983</v>
      </c>
      <c r="D373" s="203" t="s">
        <v>985</v>
      </c>
      <c r="E373" s="203" t="s">
        <v>985</v>
      </c>
      <c r="F373" s="205" t="s">
        <v>985</v>
      </c>
      <c r="G373" s="207"/>
      <c r="H373" s="197" t="s">
        <v>136</v>
      </c>
      <c r="I373" s="198"/>
    </row>
    <row r="374" spans="1:9" x14ac:dyDescent="0.25">
      <c r="A374" s="236" t="s">
        <v>468</v>
      </c>
      <c r="B374" s="265" t="s">
        <v>62</v>
      </c>
      <c r="C374" s="266" t="s">
        <v>62</v>
      </c>
      <c r="D374" s="203" t="s">
        <v>985</v>
      </c>
      <c r="E374" s="203" t="s">
        <v>985</v>
      </c>
      <c r="F374" s="205" t="s">
        <v>985</v>
      </c>
      <c r="G374" s="207"/>
      <c r="H374" s="197" t="s">
        <v>31</v>
      </c>
      <c r="I374" s="198"/>
    </row>
    <row r="375" spans="1:9" x14ac:dyDescent="0.25">
      <c r="A375" s="236" t="s">
        <v>469</v>
      </c>
      <c r="B375" s="234" t="s">
        <v>105</v>
      </c>
      <c r="C375" s="237" t="s">
        <v>105</v>
      </c>
      <c r="D375" s="203" t="s">
        <v>985</v>
      </c>
      <c r="E375" s="203" t="s">
        <v>985</v>
      </c>
      <c r="F375" s="205" t="s">
        <v>985</v>
      </c>
      <c r="G375" s="207"/>
      <c r="H375" s="197" t="s">
        <v>28</v>
      </c>
      <c r="I375" s="198"/>
    </row>
    <row r="376" spans="1:9" x14ac:dyDescent="0.25">
      <c r="A376" s="199" t="s">
        <v>470</v>
      </c>
      <c r="B376" s="261" t="s">
        <v>57</v>
      </c>
      <c r="C376" s="262" t="s">
        <v>983</v>
      </c>
      <c r="D376" s="260" t="s">
        <v>984</v>
      </c>
      <c r="E376" s="203" t="s">
        <v>985</v>
      </c>
      <c r="F376" s="205" t="s">
        <v>985</v>
      </c>
      <c r="G376" s="207"/>
      <c r="H376" s="197" t="s">
        <v>83</v>
      </c>
      <c r="I376" s="198"/>
    </row>
    <row r="377" spans="1:9" x14ac:dyDescent="0.25">
      <c r="A377" s="208" t="s">
        <v>471</v>
      </c>
      <c r="B377" s="295" t="s">
        <v>66</v>
      </c>
      <c r="C377" s="262" t="s">
        <v>983</v>
      </c>
      <c r="D377" s="203" t="s">
        <v>985</v>
      </c>
      <c r="E377" s="203" t="s">
        <v>985</v>
      </c>
      <c r="F377" s="205" t="s">
        <v>985</v>
      </c>
      <c r="G377" s="207"/>
      <c r="H377" s="197" t="s">
        <v>226</v>
      </c>
      <c r="I377" s="198"/>
    </row>
    <row r="378" spans="1:9" x14ac:dyDescent="0.25">
      <c r="A378" s="236" t="s">
        <v>472</v>
      </c>
      <c r="B378" s="265" t="s">
        <v>62</v>
      </c>
      <c r="C378" s="266" t="s">
        <v>62</v>
      </c>
      <c r="D378" s="203" t="s">
        <v>985</v>
      </c>
      <c r="E378" s="203" t="s">
        <v>985</v>
      </c>
      <c r="F378" s="205" t="s">
        <v>985</v>
      </c>
      <c r="G378" s="207"/>
      <c r="H378" s="197" t="s">
        <v>36</v>
      </c>
      <c r="I378" s="198"/>
    </row>
    <row r="379" spans="1:9" x14ac:dyDescent="0.25">
      <c r="A379" s="236" t="s">
        <v>473</v>
      </c>
      <c r="B379" s="265" t="s">
        <v>105</v>
      </c>
      <c r="C379" s="266" t="s">
        <v>105</v>
      </c>
      <c r="D379" s="203" t="s">
        <v>985</v>
      </c>
      <c r="E379" s="203" t="s">
        <v>985</v>
      </c>
      <c r="F379" s="205" t="s">
        <v>985</v>
      </c>
      <c r="G379" s="207"/>
      <c r="H379" s="197" t="s">
        <v>35</v>
      </c>
      <c r="I379" s="198"/>
    </row>
    <row r="380" spans="1:9" x14ac:dyDescent="0.25">
      <c r="A380" s="199" t="s">
        <v>474</v>
      </c>
      <c r="B380" s="261" t="s">
        <v>57</v>
      </c>
      <c r="C380" s="262" t="s">
        <v>983</v>
      </c>
      <c r="D380" s="260" t="s">
        <v>984</v>
      </c>
      <c r="E380" s="203" t="s">
        <v>985</v>
      </c>
      <c r="F380" s="205" t="s">
        <v>985</v>
      </c>
      <c r="G380" s="207"/>
      <c r="H380" s="197" t="s">
        <v>37</v>
      </c>
      <c r="I380" s="198"/>
    </row>
    <row r="381" spans="1:9" x14ac:dyDescent="0.25">
      <c r="A381" s="287" t="s">
        <v>1021</v>
      </c>
      <c r="B381" s="207"/>
      <c r="C381" s="263" t="s">
        <v>983</v>
      </c>
      <c r="D381" s="197"/>
      <c r="E381" s="197"/>
      <c r="F381" s="205" t="s">
        <v>985</v>
      </c>
      <c r="G381" s="207"/>
      <c r="H381" s="197" t="s">
        <v>95</v>
      </c>
      <c r="I381" s="198"/>
    </row>
    <row r="382" spans="1:9" x14ac:dyDescent="0.25">
      <c r="A382" s="199" t="s">
        <v>475</v>
      </c>
      <c r="B382" s="251" t="s">
        <v>51</v>
      </c>
      <c r="C382" s="257"/>
      <c r="D382" s="203" t="s">
        <v>985</v>
      </c>
      <c r="E382" s="203" t="s">
        <v>985</v>
      </c>
      <c r="F382" s="257" t="s">
        <v>987</v>
      </c>
      <c r="G382" s="207"/>
      <c r="H382" s="197" t="s">
        <v>95</v>
      </c>
      <c r="I382" s="198"/>
    </row>
    <row r="383" spans="1:9" x14ac:dyDescent="0.25">
      <c r="A383" s="199" t="s">
        <v>476</v>
      </c>
      <c r="B383" s="258" t="s">
        <v>152</v>
      </c>
      <c r="C383" s="284" t="s">
        <v>996</v>
      </c>
      <c r="D383" s="203" t="s">
        <v>985</v>
      </c>
      <c r="E383" s="203" t="s">
        <v>985</v>
      </c>
      <c r="F383" s="205" t="s">
        <v>985</v>
      </c>
      <c r="G383" s="207"/>
      <c r="H383" s="197" t="s">
        <v>136</v>
      </c>
      <c r="I383" s="198"/>
    </row>
    <row r="384" spans="1:9" x14ac:dyDescent="0.25">
      <c r="A384" s="236" t="s">
        <v>477</v>
      </c>
      <c r="B384" s="234" t="s">
        <v>105</v>
      </c>
      <c r="C384" s="237" t="s">
        <v>105</v>
      </c>
      <c r="D384" s="203" t="s">
        <v>985</v>
      </c>
      <c r="E384" s="203" t="s">
        <v>985</v>
      </c>
      <c r="F384" s="205" t="s">
        <v>985</v>
      </c>
      <c r="G384" s="207"/>
      <c r="H384" s="197" t="s">
        <v>28</v>
      </c>
      <c r="I384" s="198"/>
    </row>
    <row r="385" spans="1:9" x14ac:dyDescent="0.25">
      <c r="A385" s="236" t="s">
        <v>478</v>
      </c>
      <c r="B385" s="234" t="s">
        <v>105</v>
      </c>
      <c r="C385" s="237" t="s">
        <v>105</v>
      </c>
      <c r="D385" s="203" t="s">
        <v>985</v>
      </c>
      <c r="E385" s="203" t="s">
        <v>985</v>
      </c>
      <c r="F385" s="205" t="s">
        <v>985</v>
      </c>
      <c r="G385" s="207"/>
      <c r="H385" s="197" t="s">
        <v>28</v>
      </c>
      <c r="I385" s="198"/>
    </row>
    <row r="386" spans="1:9" x14ac:dyDescent="0.25">
      <c r="A386" s="236" t="s">
        <v>479</v>
      </c>
      <c r="B386" s="234" t="s">
        <v>62</v>
      </c>
      <c r="C386" s="237" t="s">
        <v>62</v>
      </c>
      <c r="D386" s="203" t="s">
        <v>985</v>
      </c>
      <c r="E386" s="203" t="s">
        <v>985</v>
      </c>
      <c r="F386" s="205" t="s">
        <v>985</v>
      </c>
      <c r="G386" s="207"/>
      <c r="H386" s="197" t="s">
        <v>27</v>
      </c>
      <c r="I386" s="198"/>
    </row>
    <row r="387" spans="1:9" x14ac:dyDescent="0.25">
      <c r="A387" s="247" t="s">
        <v>480</v>
      </c>
      <c r="B387" s="226" t="s">
        <v>51</v>
      </c>
      <c r="C387" s="262" t="s">
        <v>51</v>
      </c>
      <c r="D387" s="203" t="s">
        <v>985</v>
      </c>
      <c r="E387" s="203" t="s">
        <v>985</v>
      </c>
      <c r="F387" s="205" t="s">
        <v>985</v>
      </c>
      <c r="G387" s="207"/>
      <c r="H387" s="197" t="s">
        <v>35</v>
      </c>
      <c r="I387" s="198"/>
    </row>
    <row r="388" spans="1:9" x14ac:dyDescent="0.25">
      <c r="A388" s="216" t="s">
        <v>481</v>
      </c>
      <c r="B388" s="261" t="s">
        <v>57</v>
      </c>
      <c r="C388" s="257"/>
      <c r="D388" s="260" t="s">
        <v>984</v>
      </c>
      <c r="E388" s="203" t="s">
        <v>985</v>
      </c>
      <c r="F388" s="257" t="s">
        <v>987</v>
      </c>
      <c r="G388" s="207"/>
      <c r="H388" s="197" t="s">
        <v>83</v>
      </c>
      <c r="I388" s="198"/>
    </row>
    <row r="389" spans="1:9" x14ac:dyDescent="0.25">
      <c r="A389" s="287" t="s">
        <v>1022</v>
      </c>
      <c r="B389" s="207"/>
      <c r="C389" s="273" t="s">
        <v>983</v>
      </c>
      <c r="D389" s="197"/>
      <c r="E389" s="197"/>
      <c r="F389" s="205" t="s">
        <v>985</v>
      </c>
      <c r="G389" s="207"/>
      <c r="H389" s="197" t="s">
        <v>83</v>
      </c>
      <c r="I389" s="198"/>
    </row>
    <row r="390" spans="1:9" x14ac:dyDescent="0.25">
      <c r="A390" s="199" t="s">
        <v>482</v>
      </c>
      <c r="B390" s="255" t="s">
        <v>51</v>
      </c>
      <c r="C390" s="262" t="s">
        <v>983</v>
      </c>
      <c r="D390" s="203" t="s">
        <v>985</v>
      </c>
      <c r="E390" s="203" t="s">
        <v>985</v>
      </c>
      <c r="F390" s="205" t="s">
        <v>985</v>
      </c>
      <c r="G390" s="207"/>
      <c r="H390" s="197" t="s">
        <v>168</v>
      </c>
      <c r="I390" s="198"/>
    </row>
    <row r="391" spans="1:9" x14ac:dyDescent="0.25">
      <c r="A391" s="236" t="s">
        <v>483</v>
      </c>
      <c r="B391" s="265" t="s">
        <v>62</v>
      </c>
      <c r="C391" s="266" t="s">
        <v>62</v>
      </c>
      <c r="D391" s="203" t="s">
        <v>985</v>
      </c>
      <c r="E391" s="203" t="s">
        <v>985</v>
      </c>
      <c r="F391" s="205" t="s">
        <v>985</v>
      </c>
      <c r="G391" s="207"/>
      <c r="H391" s="197" t="s">
        <v>31</v>
      </c>
      <c r="I391" s="198"/>
    </row>
    <row r="392" spans="1:9" x14ac:dyDescent="0.25">
      <c r="A392" s="199" t="s">
        <v>484</v>
      </c>
      <c r="B392" s="255" t="s">
        <v>51</v>
      </c>
      <c r="C392" s="262" t="s">
        <v>983</v>
      </c>
      <c r="D392" s="203" t="s">
        <v>985</v>
      </c>
      <c r="E392" s="203" t="s">
        <v>985</v>
      </c>
      <c r="F392" s="205" t="s">
        <v>985</v>
      </c>
      <c r="G392" s="207"/>
      <c r="H392" s="197" t="s">
        <v>168</v>
      </c>
      <c r="I392" s="198"/>
    </row>
    <row r="393" spans="1:9" x14ac:dyDescent="0.25">
      <c r="A393" s="287" t="s">
        <v>1023</v>
      </c>
      <c r="B393" s="207"/>
      <c r="C393" s="262" t="s">
        <v>51</v>
      </c>
      <c r="D393" s="197"/>
      <c r="E393" s="197"/>
      <c r="F393" s="205" t="s">
        <v>985</v>
      </c>
      <c r="G393" s="207"/>
      <c r="H393" s="197" t="s">
        <v>27</v>
      </c>
      <c r="I393" s="198"/>
    </row>
    <row r="394" spans="1:9" x14ac:dyDescent="0.25">
      <c r="A394" s="236" t="s">
        <v>485</v>
      </c>
      <c r="B394" s="265" t="s">
        <v>105</v>
      </c>
      <c r="C394" s="266" t="s">
        <v>105</v>
      </c>
      <c r="D394" s="203" t="s">
        <v>985</v>
      </c>
      <c r="E394" s="203" t="s">
        <v>985</v>
      </c>
      <c r="F394" s="205" t="s">
        <v>985</v>
      </c>
      <c r="G394" s="207"/>
      <c r="H394" s="197" t="s">
        <v>34</v>
      </c>
      <c r="I394" s="198"/>
    </row>
    <row r="395" spans="1:9" x14ac:dyDescent="0.25">
      <c r="A395" s="216" t="s">
        <v>486</v>
      </c>
      <c r="B395" s="258" t="s">
        <v>57</v>
      </c>
      <c r="C395" s="257"/>
      <c r="D395" s="203" t="s">
        <v>985</v>
      </c>
      <c r="E395" s="203" t="s">
        <v>985</v>
      </c>
      <c r="F395" s="257" t="s">
        <v>987</v>
      </c>
      <c r="G395" s="207"/>
      <c r="H395" s="197" t="s">
        <v>83</v>
      </c>
      <c r="I395" s="198"/>
    </row>
    <row r="396" spans="1:9" x14ac:dyDescent="0.25">
      <c r="A396" s="216" t="s">
        <v>487</v>
      </c>
      <c r="B396" s="258" t="s">
        <v>156</v>
      </c>
      <c r="C396" s="257"/>
      <c r="D396" s="203" t="s">
        <v>985</v>
      </c>
      <c r="E396" s="260" t="s">
        <v>52</v>
      </c>
      <c r="F396" s="257" t="s">
        <v>987</v>
      </c>
      <c r="G396" s="207"/>
      <c r="H396" s="197" t="s">
        <v>30</v>
      </c>
      <c r="I396" s="198"/>
    </row>
    <row r="397" spans="1:9" x14ac:dyDescent="0.25">
      <c r="A397" s="287" t="s">
        <v>1024</v>
      </c>
      <c r="B397" s="207"/>
      <c r="C397" s="262" t="s">
        <v>51</v>
      </c>
      <c r="D397" s="197"/>
      <c r="E397" s="197"/>
      <c r="F397" s="205" t="s">
        <v>985</v>
      </c>
      <c r="G397" s="197"/>
      <c r="H397" s="197" t="s">
        <v>35</v>
      </c>
      <c r="I397" s="198"/>
    </row>
    <row r="398" spans="1:9" x14ac:dyDescent="0.25">
      <c r="A398" s="199" t="s">
        <v>488</v>
      </c>
      <c r="B398" s="255" t="s">
        <v>51</v>
      </c>
      <c r="C398" s="257"/>
      <c r="D398" s="203" t="s">
        <v>985</v>
      </c>
      <c r="E398" s="203" t="s">
        <v>985</v>
      </c>
      <c r="F398" s="257" t="s">
        <v>987</v>
      </c>
      <c r="G398" s="207"/>
      <c r="H398" s="197" t="s">
        <v>35</v>
      </c>
      <c r="I398" s="198"/>
    </row>
    <row r="399" spans="1:9" x14ac:dyDescent="0.25">
      <c r="A399" s="199" t="s">
        <v>489</v>
      </c>
      <c r="B399" s="269" t="s">
        <v>490</v>
      </c>
      <c r="C399" s="257"/>
      <c r="D399" s="203" t="s">
        <v>985</v>
      </c>
      <c r="E399" s="203" t="s">
        <v>985</v>
      </c>
      <c r="F399" s="257" t="s">
        <v>987</v>
      </c>
      <c r="G399" s="207" t="s">
        <v>985</v>
      </c>
      <c r="H399" s="197" t="s">
        <v>95</v>
      </c>
      <c r="I399" s="198"/>
    </row>
    <row r="400" spans="1:9" x14ac:dyDescent="0.25">
      <c r="A400" s="236" t="s">
        <v>491</v>
      </c>
      <c r="B400" s="265" t="s">
        <v>62</v>
      </c>
      <c r="C400" s="266" t="s">
        <v>62</v>
      </c>
      <c r="D400" s="203" t="s">
        <v>985</v>
      </c>
      <c r="E400" s="203" t="s">
        <v>985</v>
      </c>
      <c r="F400" s="205" t="s">
        <v>985</v>
      </c>
      <c r="G400" s="207"/>
      <c r="H400" s="197" t="s">
        <v>30</v>
      </c>
      <c r="I400" s="198"/>
    </row>
    <row r="401" spans="1:9" x14ac:dyDescent="0.25">
      <c r="A401" s="199" t="s">
        <v>492</v>
      </c>
      <c r="B401" s="268" t="s">
        <v>156</v>
      </c>
      <c r="C401" s="257"/>
      <c r="D401" s="203" t="s">
        <v>985</v>
      </c>
      <c r="E401" s="260" t="s">
        <v>52</v>
      </c>
      <c r="F401" s="257" t="s">
        <v>987</v>
      </c>
      <c r="G401" s="207"/>
      <c r="H401" s="197" t="s">
        <v>30</v>
      </c>
      <c r="I401" s="198"/>
    </row>
    <row r="402" spans="1:9" x14ac:dyDescent="0.25">
      <c r="A402" s="236" t="s">
        <v>493</v>
      </c>
      <c r="B402" s="234" t="s">
        <v>62</v>
      </c>
      <c r="C402" s="237" t="s">
        <v>62</v>
      </c>
      <c r="D402" s="203" t="s">
        <v>985</v>
      </c>
      <c r="E402" s="203" t="s">
        <v>985</v>
      </c>
      <c r="F402" s="205" t="s">
        <v>985</v>
      </c>
      <c r="G402" s="207"/>
      <c r="H402" s="197" t="s">
        <v>37</v>
      </c>
      <c r="I402" s="198"/>
    </row>
    <row r="403" spans="1:9" x14ac:dyDescent="0.25">
      <c r="A403" s="236" t="s">
        <v>494</v>
      </c>
      <c r="B403" s="269" t="s">
        <v>57</v>
      </c>
      <c r="C403" s="257"/>
      <c r="D403" s="203" t="s">
        <v>985</v>
      </c>
      <c r="E403" s="203" t="s">
        <v>985</v>
      </c>
      <c r="F403" s="257" t="s">
        <v>987</v>
      </c>
      <c r="G403" s="207"/>
      <c r="H403" s="197" t="s">
        <v>27</v>
      </c>
      <c r="I403" s="198"/>
    </row>
    <row r="404" spans="1:9" x14ac:dyDescent="0.25">
      <c r="A404" s="199" t="s">
        <v>495</v>
      </c>
      <c r="B404" s="255" t="s">
        <v>496</v>
      </c>
      <c r="C404" s="257"/>
      <c r="D404" s="203" t="s">
        <v>985</v>
      </c>
      <c r="E404" s="203" t="s">
        <v>985</v>
      </c>
      <c r="F404" s="257" t="s">
        <v>987</v>
      </c>
      <c r="G404" s="207"/>
      <c r="H404" s="197" t="s">
        <v>95</v>
      </c>
      <c r="I404" s="198"/>
    </row>
    <row r="405" spans="1:9" x14ac:dyDescent="0.25">
      <c r="A405" s="236" t="s">
        <v>497</v>
      </c>
      <c r="B405" s="234" t="s">
        <v>62</v>
      </c>
      <c r="C405" s="237" t="s">
        <v>62</v>
      </c>
      <c r="D405" s="203" t="s">
        <v>985</v>
      </c>
      <c r="E405" s="203" t="s">
        <v>985</v>
      </c>
      <c r="F405" s="205" t="s">
        <v>985</v>
      </c>
      <c r="G405" s="207"/>
      <c r="H405" s="197" t="s">
        <v>29</v>
      </c>
      <c r="I405" s="198"/>
    </row>
    <row r="406" spans="1:9" x14ac:dyDescent="0.25">
      <c r="A406" s="199" t="s">
        <v>498</v>
      </c>
      <c r="B406" s="261" t="s">
        <v>51</v>
      </c>
      <c r="C406" s="262" t="s">
        <v>983</v>
      </c>
      <c r="D406" s="260" t="s">
        <v>984</v>
      </c>
      <c r="E406" s="203" t="s">
        <v>985</v>
      </c>
      <c r="F406" s="205" t="s">
        <v>985</v>
      </c>
      <c r="G406" s="207"/>
      <c r="H406" s="197" t="s">
        <v>168</v>
      </c>
      <c r="I406" s="198"/>
    </row>
    <row r="407" spans="1:9" x14ac:dyDescent="0.25">
      <c r="A407" s="236" t="s">
        <v>499</v>
      </c>
      <c r="B407" s="265" t="s">
        <v>62</v>
      </c>
      <c r="C407" s="266" t="s">
        <v>62</v>
      </c>
      <c r="D407" s="203" t="s">
        <v>985</v>
      </c>
      <c r="E407" s="203" t="s">
        <v>985</v>
      </c>
      <c r="F407" s="205" t="s">
        <v>985</v>
      </c>
      <c r="G407" s="207"/>
      <c r="H407" s="197" t="s">
        <v>36</v>
      </c>
      <c r="I407" s="198"/>
    </row>
    <row r="408" spans="1:9" x14ac:dyDescent="0.25">
      <c r="A408" s="236" t="s">
        <v>500</v>
      </c>
      <c r="B408" s="234" t="s">
        <v>62</v>
      </c>
      <c r="C408" s="237" t="s">
        <v>62</v>
      </c>
      <c r="D408" s="203" t="s">
        <v>985</v>
      </c>
      <c r="E408" s="203" t="s">
        <v>985</v>
      </c>
      <c r="F408" s="205" t="s">
        <v>985</v>
      </c>
      <c r="G408" s="207"/>
      <c r="H408" s="197" t="s">
        <v>29</v>
      </c>
      <c r="I408" s="198"/>
    </row>
    <row r="409" spans="1:9" x14ac:dyDescent="0.25">
      <c r="A409" s="236" t="s">
        <v>501</v>
      </c>
      <c r="B409" s="234" t="s">
        <v>62</v>
      </c>
      <c r="C409" s="237" t="s">
        <v>62</v>
      </c>
      <c r="D409" s="203" t="s">
        <v>985</v>
      </c>
      <c r="E409" s="203" t="s">
        <v>985</v>
      </c>
      <c r="F409" s="205" t="s">
        <v>985</v>
      </c>
      <c r="G409" s="207"/>
      <c r="H409" s="197" t="s">
        <v>27</v>
      </c>
      <c r="I409" s="198"/>
    </row>
    <row r="410" spans="1:9" x14ac:dyDescent="0.25">
      <c r="A410" s="236" t="s">
        <v>502</v>
      </c>
      <c r="B410" s="234" t="s">
        <v>62</v>
      </c>
      <c r="C410" s="237" t="s">
        <v>62</v>
      </c>
      <c r="D410" s="203" t="s">
        <v>985</v>
      </c>
      <c r="E410" s="203" t="s">
        <v>985</v>
      </c>
      <c r="F410" s="205" t="s">
        <v>985</v>
      </c>
      <c r="G410" s="207"/>
      <c r="H410" s="197" t="s">
        <v>29</v>
      </c>
      <c r="I410" s="198"/>
    </row>
    <row r="411" spans="1:9" x14ac:dyDescent="0.25">
      <c r="A411" s="236" t="s">
        <v>503</v>
      </c>
      <c r="B411" s="234" t="s">
        <v>62</v>
      </c>
      <c r="C411" s="237" t="s">
        <v>62</v>
      </c>
      <c r="D411" s="203" t="s">
        <v>985</v>
      </c>
      <c r="E411" s="203" t="s">
        <v>985</v>
      </c>
      <c r="F411" s="205" t="s">
        <v>985</v>
      </c>
      <c r="G411" s="207"/>
      <c r="H411" s="197" t="s">
        <v>29</v>
      </c>
      <c r="I411" s="198"/>
    </row>
    <row r="412" spans="1:9" x14ac:dyDescent="0.25">
      <c r="A412" s="236" t="s">
        <v>504</v>
      </c>
      <c r="B412" s="254"/>
      <c r="C412" s="253"/>
      <c r="D412" s="203" t="s">
        <v>985</v>
      </c>
      <c r="E412" s="203" t="s">
        <v>985</v>
      </c>
      <c r="F412" s="257" t="s">
        <v>987</v>
      </c>
      <c r="G412" s="207"/>
      <c r="H412" s="197" t="s">
        <v>36</v>
      </c>
      <c r="I412" s="198"/>
    </row>
    <row r="413" spans="1:9" x14ac:dyDescent="0.25">
      <c r="A413" s="236" t="s">
        <v>505</v>
      </c>
      <c r="B413" s="265" t="s">
        <v>62</v>
      </c>
      <c r="C413" s="266" t="s">
        <v>62</v>
      </c>
      <c r="D413" s="203" t="s">
        <v>985</v>
      </c>
      <c r="E413" s="203" t="s">
        <v>985</v>
      </c>
      <c r="F413" s="205" t="s">
        <v>985</v>
      </c>
      <c r="G413" s="207"/>
      <c r="H413" s="197" t="s">
        <v>31</v>
      </c>
      <c r="I413" s="198"/>
    </row>
    <row r="414" spans="1:9" x14ac:dyDescent="0.25">
      <c r="A414" s="199" t="s">
        <v>506</v>
      </c>
      <c r="B414" s="269" t="s">
        <v>57</v>
      </c>
      <c r="C414" s="257"/>
      <c r="D414" s="203" t="s">
        <v>985</v>
      </c>
      <c r="E414" s="203" t="s">
        <v>985</v>
      </c>
      <c r="F414" s="257" t="s">
        <v>987</v>
      </c>
      <c r="G414" s="207"/>
      <c r="H414" s="197" t="s">
        <v>78</v>
      </c>
      <c r="I414" s="198"/>
    </row>
    <row r="415" spans="1:9" x14ac:dyDescent="0.25">
      <c r="A415" s="287" t="s">
        <v>1025</v>
      </c>
      <c r="B415" s="207"/>
      <c r="C415" s="262" t="s">
        <v>983</v>
      </c>
      <c r="D415" s="197"/>
      <c r="E415" s="197"/>
      <c r="F415" s="203" t="s">
        <v>985</v>
      </c>
      <c r="G415" s="207"/>
      <c r="H415" s="197" t="s">
        <v>78</v>
      </c>
      <c r="I415" s="198"/>
    </row>
    <row r="416" spans="1:9" x14ac:dyDescent="0.25">
      <c r="A416" s="236" t="s">
        <v>507</v>
      </c>
      <c r="B416" s="265" t="s">
        <v>62</v>
      </c>
      <c r="C416" s="266" t="s">
        <v>62</v>
      </c>
      <c r="D416" s="203" t="s">
        <v>985</v>
      </c>
      <c r="E416" s="203" t="s">
        <v>985</v>
      </c>
      <c r="F416" s="205" t="s">
        <v>985</v>
      </c>
      <c r="G416" s="207"/>
      <c r="H416" s="197" t="s">
        <v>30</v>
      </c>
      <c r="I416" s="198"/>
    </row>
    <row r="417" spans="1:9" x14ac:dyDescent="0.25">
      <c r="A417" s="199" t="s">
        <v>508</v>
      </c>
      <c r="B417" s="269" t="s">
        <v>164</v>
      </c>
      <c r="C417" s="257"/>
      <c r="D417" s="280" t="s">
        <v>52</v>
      </c>
      <c r="E417" s="280" t="s">
        <v>52</v>
      </c>
      <c r="F417" s="281" t="s">
        <v>52</v>
      </c>
      <c r="G417" s="207"/>
      <c r="H417" s="197" t="s">
        <v>75</v>
      </c>
      <c r="I417" s="198"/>
    </row>
    <row r="418" spans="1:9" x14ac:dyDescent="0.25">
      <c r="A418" s="216" t="s">
        <v>509</v>
      </c>
      <c r="B418" s="293" t="s">
        <v>97</v>
      </c>
      <c r="C418" s="257"/>
      <c r="D418" s="203" t="s">
        <v>985</v>
      </c>
      <c r="E418" s="203" t="s">
        <v>985</v>
      </c>
      <c r="F418" s="257" t="s">
        <v>987</v>
      </c>
      <c r="G418" s="207"/>
      <c r="H418" s="197" t="s">
        <v>78</v>
      </c>
      <c r="I418" s="198"/>
    </row>
    <row r="419" spans="1:9" x14ac:dyDescent="0.25">
      <c r="A419" s="287" t="s">
        <v>1026</v>
      </c>
      <c r="B419" s="207"/>
      <c r="C419" s="284" t="s">
        <v>1027</v>
      </c>
      <c r="D419" s="197"/>
      <c r="E419" s="197"/>
      <c r="F419" s="205" t="s">
        <v>985</v>
      </c>
      <c r="G419" s="207"/>
      <c r="H419" s="197" t="s">
        <v>78</v>
      </c>
      <c r="I419" s="198"/>
    </row>
    <row r="420" spans="1:9" x14ac:dyDescent="0.25">
      <c r="A420" s="236" t="s">
        <v>510</v>
      </c>
      <c r="B420" s="265" t="s">
        <v>62</v>
      </c>
      <c r="C420" s="266" t="s">
        <v>62</v>
      </c>
      <c r="D420" s="203" t="s">
        <v>985</v>
      </c>
      <c r="E420" s="203" t="s">
        <v>985</v>
      </c>
      <c r="F420" s="205" t="s">
        <v>985</v>
      </c>
      <c r="G420" s="207"/>
      <c r="H420" s="197" t="s">
        <v>34</v>
      </c>
      <c r="I420" s="198"/>
    </row>
    <row r="421" spans="1:9" x14ac:dyDescent="0.25">
      <c r="A421" s="236" t="s">
        <v>511</v>
      </c>
      <c r="B421" s="265" t="s">
        <v>62</v>
      </c>
      <c r="C421" s="266" t="s">
        <v>62</v>
      </c>
      <c r="D421" s="203" t="s">
        <v>985</v>
      </c>
      <c r="E421" s="203" t="s">
        <v>985</v>
      </c>
      <c r="F421" s="205" t="s">
        <v>985</v>
      </c>
      <c r="G421" s="207"/>
      <c r="H421" s="197" t="s">
        <v>34</v>
      </c>
      <c r="I421" s="198"/>
    </row>
    <row r="422" spans="1:9" x14ac:dyDescent="0.25">
      <c r="A422" s="236" t="s">
        <v>512</v>
      </c>
      <c r="B422" s="265" t="s">
        <v>62</v>
      </c>
      <c r="C422" s="266" t="s">
        <v>62</v>
      </c>
      <c r="D422" s="203" t="s">
        <v>985</v>
      </c>
      <c r="E422" s="203" t="s">
        <v>985</v>
      </c>
      <c r="F422" s="205" t="s">
        <v>985</v>
      </c>
      <c r="G422" s="207"/>
      <c r="H422" s="197" t="s">
        <v>34</v>
      </c>
      <c r="I422" s="198"/>
    </row>
    <row r="423" spans="1:9" x14ac:dyDescent="0.25">
      <c r="A423" s="236" t="s">
        <v>513</v>
      </c>
      <c r="B423" s="265" t="s">
        <v>62</v>
      </c>
      <c r="C423" s="266" t="s">
        <v>62</v>
      </c>
      <c r="D423" s="203" t="s">
        <v>985</v>
      </c>
      <c r="E423" s="203" t="s">
        <v>985</v>
      </c>
      <c r="F423" s="205" t="s">
        <v>985</v>
      </c>
      <c r="G423" s="207"/>
      <c r="H423" s="197" t="s">
        <v>30</v>
      </c>
      <c r="I423" s="198"/>
    </row>
    <row r="424" spans="1:9" x14ac:dyDescent="0.25">
      <c r="A424" s="236" t="s">
        <v>514</v>
      </c>
      <c r="B424" s="234" t="s">
        <v>62</v>
      </c>
      <c r="C424" s="237" t="s">
        <v>62</v>
      </c>
      <c r="D424" s="203" t="s">
        <v>985</v>
      </c>
      <c r="E424" s="203" t="s">
        <v>985</v>
      </c>
      <c r="F424" s="205" t="s">
        <v>985</v>
      </c>
      <c r="G424" s="207"/>
      <c r="H424" s="197" t="s">
        <v>29</v>
      </c>
      <c r="I424" s="198"/>
    </row>
    <row r="425" spans="1:9" x14ac:dyDescent="0.25">
      <c r="A425" s="216" t="s">
        <v>1028</v>
      </c>
      <c r="B425" s="255" t="s">
        <v>51</v>
      </c>
      <c r="C425" s="262" t="s">
        <v>51</v>
      </c>
      <c r="D425" s="203" t="s">
        <v>985</v>
      </c>
      <c r="E425" s="203" t="s">
        <v>985</v>
      </c>
      <c r="F425" s="205" t="s">
        <v>985</v>
      </c>
      <c r="G425" s="207"/>
      <c r="H425" s="197" t="s">
        <v>35</v>
      </c>
      <c r="I425" s="198"/>
    </row>
    <row r="426" spans="1:9" x14ac:dyDescent="0.25">
      <c r="A426" s="341" t="s">
        <v>1310</v>
      </c>
      <c r="B426" s="345"/>
      <c r="C426" s="337"/>
      <c r="D426" s="203" t="s">
        <v>985</v>
      </c>
      <c r="E426" s="203" t="s">
        <v>985</v>
      </c>
      <c r="F426" s="205" t="s">
        <v>985</v>
      </c>
      <c r="G426" s="334"/>
      <c r="H426" s="351" t="s">
        <v>134</v>
      </c>
      <c r="I426" s="336"/>
    </row>
    <row r="427" spans="1:9" x14ac:dyDescent="0.25">
      <c r="A427" s="236" t="s">
        <v>516</v>
      </c>
      <c r="B427" s="265" t="s">
        <v>62</v>
      </c>
      <c r="C427" s="266" t="s">
        <v>62</v>
      </c>
      <c r="D427" s="203" t="s">
        <v>985</v>
      </c>
      <c r="E427" s="203" t="s">
        <v>985</v>
      </c>
      <c r="F427" s="205" t="s">
        <v>985</v>
      </c>
      <c r="G427" s="207"/>
      <c r="H427" s="197" t="s">
        <v>31</v>
      </c>
      <c r="I427" s="198"/>
    </row>
    <row r="428" spans="1:9" x14ac:dyDescent="0.25">
      <c r="A428" s="236" t="s">
        <v>517</v>
      </c>
      <c r="B428" s="265" t="s">
        <v>62</v>
      </c>
      <c r="C428" s="266" t="s">
        <v>62</v>
      </c>
      <c r="D428" s="203" t="s">
        <v>985</v>
      </c>
      <c r="E428" s="203" t="s">
        <v>985</v>
      </c>
      <c r="F428" s="205" t="s">
        <v>985</v>
      </c>
      <c r="G428" s="207"/>
      <c r="H428" s="197" t="s">
        <v>31</v>
      </c>
      <c r="I428" s="198"/>
    </row>
    <row r="429" spans="1:9" x14ac:dyDescent="0.25">
      <c r="A429" s="236" t="s">
        <v>518</v>
      </c>
      <c r="B429" s="265" t="s">
        <v>62</v>
      </c>
      <c r="C429" s="266" t="s">
        <v>62</v>
      </c>
      <c r="D429" s="203" t="s">
        <v>985</v>
      </c>
      <c r="E429" s="203" t="s">
        <v>985</v>
      </c>
      <c r="F429" s="205" t="s">
        <v>985</v>
      </c>
      <c r="G429" s="207"/>
      <c r="H429" s="197" t="s">
        <v>32</v>
      </c>
      <c r="I429" s="198"/>
    </row>
    <row r="430" spans="1:9" x14ac:dyDescent="0.25">
      <c r="A430" s="236" t="s">
        <v>519</v>
      </c>
      <c r="B430" s="234" t="s">
        <v>62</v>
      </c>
      <c r="C430" s="237" t="s">
        <v>62</v>
      </c>
      <c r="D430" s="203" t="s">
        <v>985</v>
      </c>
      <c r="E430" s="203" t="s">
        <v>985</v>
      </c>
      <c r="F430" s="205" t="s">
        <v>985</v>
      </c>
      <c r="G430" s="207"/>
      <c r="H430" s="197" t="s">
        <v>29</v>
      </c>
      <c r="I430" s="198"/>
    </row>
    <row r="431" spans="1:9" x14ac:dyDescent="0.25">
      <c r="A431" s="236" t="s">
        <v>520</v>
      </c>
      <c r="B431" s="265" t="s">
        <v>62</v>
      </c>
      <c r="C431" s="266" t="s">
        <v>62</v>
      </c>
      <c r="D431" s="203" t="s">
        <v>985</v>
      </c>
      <c r="E431" s="203" t="s">
        <v>985</v>
      </c>
      <c r="F431" s="205" t="s">
        <v>985</v>
      </c>
      <c r="G431" s="207"/>
      <c r="H431" s="197" t="s">
        <v>36</v>
      </c>
      <c r="I431" s="198"/>
    </row>
    <row r="432" spans="1:9" x14ac:dyDescent="0.25">
      <c r="A432" s="236" t="s">
        <v>521</v>
      </c>
      <c r="B432" s="234" t="s">
        <v>62</v>
      </c>
      <c r="C432" s="237" t="s">
        <v>62</v>
      </c>
      <c r="D432" s="203" t="s">
        <v>985</v>
      </c>
      <c r="E432" s="203" t="s">
        <v>985</v>
      </c>
      <c r="F432" s="205" t="s">
        <v>985</v>
      </c>
      <c r="G432" s="207"/>
      <c r="H432" s="197" t="s">
        <v>29</v>
      </c>
      <c r="I432" s="198"/>
    </row>
    <row r="433" spans="1:9" x14ac:dyDescent="0.25">
      <c r="A433" s="236" t="s">
        <v>522</v>
      </c>
      <c r="B433" s="265" t="s">
        <v>62</v>
      </c>
      <c r="C433" s="266" t="s">
        <v>62</v>
      </c>
      <c r="D433" s="203" t="s">
        <v>985</v>
      </c>
      <c r="E433" s="203" t="s">
        <v>985</v>
      </c>
      <c r="F433" s="205" t="s">
        <v>985</v>
      </c>
      <c r="G433" s="207"/>
      <c r="H433" s="197" t="s">
        <v>30</v>
      </c>
      <c r="I433" s="198"/>
    </row>
    <row r="434" spans="1:9" x14ac:dyDescent="0.25">
      <c r="A434" s="236" t="s">
        <v>523</v>
      </c>
      <c r="B434" s="234" t="s">
        <v>62</v>
      </c>
      <c r="C434" s="237" t="s">
        <v>62</v>
      </c>
      <c r="D434" s="203" t="s">
        <v>985</v>
      </c>
      <c r="E434" s="203" t="s">
        <v>985</v>
      </c>
      <c r="F434" s="205" t="s">
        <v>985</v>
      </c>
      <c r="G434" s="207"/>
      <c r="H434" s="197" t="s">
        <v>29</v>
      </c>
      <c r="I434" s="198"/>
    </row>
    <row r="435" spans="1:9" x14ac:dyDescent="0.25">
      <c r="A435" s="247" t="s">
        <v>524</v>
      </c>
      <c r="B435" s="249" t="s">
        <v>105</v>
      </c>
      <c r="C435" s="248" t="s">
        <v>105</v>
      </c>
      <c r="D435" s="203" t="s">
        <v>985</v>
      </c>
      <c r="E435" s="203" t="s">
        <v>985</v>
      </c>
      <c r="F435" s="205" t="s">
        <v>985</v>
      </c>
      <c r="G435" s="207"/>
      <c r="H435" s="197" t="s">
        <v>134</v>
      </c>
      <c r="I435" s="198"/>
    </row>
    <row r="436" spans="1:9" x14ac:dyDescent="0.25">
      <c r="A436" s="236" t="s">
        <v>525</v>
      </c>
      <c r="B436" s="234" t="s">
        <v>62</v>
      </c>
      <c r="C436" s="237" t="s">
        <v>62</v>
      </c>
      <c r="D436" s="203" t="s">
        <v>985</v>
      </c>
      <c r="E436" s="203" t="s">
        <v>985</v>
      </c>
      <c r="F436" s="205" t="s">
        <v>985</v>
      </c>
      <c r="G436" s="207"/>
      <c r="H436" s="197" t="s">
        <v>29</v>
      </c>
      <c r="I436" s="198"/>
    </row>
    <row r="437" spans="1:9" x14ac:dyDescent="0.25">
      <c r="A437" s="287" t="s">
        <v>1029</v>
      </c>
      <c r="B437" s="207"/>
      <c r="C437" s="262" t="s">
        <v>51</v>
      </c>
      <c r="D437" s="197"/>
      <c r="E437" s="197"/>
      <c r="F437" s="281" t="s">
        <v>52</v>
      </c>
      <c r="G437" s="207"/>
      <c r="H437" s="197" t="s">
        <v>75</v>
      </c>
      <c r="I437" s="198"/>
    </row>
    <row r="438" spans="1:9" x14ac:dyDescent="0.25">
      <c r="A438" s="199" t="s">
        <v>526</v>
      </c>
      <c r="B438" s="251" t="s">
        <v>51</v>
      </c>
      <c r="C438" s="263" t="s">
        <v>51</v>
      </c>
      <c r="D438" s="203" t="s">
        <v>985</v>
      </c>
      <c r="E438" s="203" t="s">
        <v>985</v>
      </c>
      <c r="F438" s="205" t="s">
        <v>985</v>
      </c>
      <c r="G438" s="207"/>
      <c r="H438" s="197" t="s">
        <v>33</v>
      </c>
      <c r="I438" s="198"/>
    </row>
    <row r="439" spans="1:9" x14ac:dyDescent="0.25">
      <c r="A439" s="236" t="s">
        <v>527</v>
      </c>
      <c r="B439" s="265" t="s">
        <v>62</v>
      </c>
      <c r="C439" s="266" t="s">
        <v>62</v>
      </c>
      <c r="D439" s="203" t="s">
        <v>985</v>
      </c>
      <c r="E439" s="203" t="s">
        <v>985</v>
      </c>
      <c r="F439" s="205" t="s">
        <v>985</v>
      </c>
      <c r="G439" s="207"/>
      <c r="H439" s="197" t="s">
        <v>30</v>
      </c>
      <c r="I439" s="198"/>
    </row>
    <row r="440" spans="1:9" x14ac:dyDescent="0.25">
      <c r="A440" s="199" t="s">
        <v>528</v>
      </c>
      <c r="B440" s="269" t="s">
        <v>57</v>
      </c>
      <c r="C440" s="257"/>
      <c r="D440" s="203" t="s">
        <v>985</v>
      </c>
      <c r="E440" s="203" t="s">
        <v>985</v>
      </c>
      <c r="F440" s="257" t="s">
        <v>987</v>
      </c>
      <c r="G440" s="207"/>
      <c r="H440" s="197" t="s">
        <v>27</v>
      </c>
      <c r="I440" s="198"/>
    </row>
    <row r="441" spans="1:9" x14ac:dyDescent="0.25">
      <c r="A441" s="216" t="s">
        <v>529</v>
      </c>
      <c r="B441" s="269" t="s">
        <v>57</v>
      </c>
      <c r="C441" s="273" t="s">
        <v>983</v>
      </c>
      <c r="D441" s="203" t="s">
        <v>985</v>
      </c>
      <c r="E441" s="203" t="s">
        <v>985</v>
      </c>
      <c r="F441" s="203" t="s">
        <v>985</v>
      </c>
      <c r="G441" s="207"/>
      <c r="H441" s="197" t="s">
        <v>83</v>
      </c>
      <c r="I441" s="198"/>
    </row>
    <row r="442" spans="1:9" x14ac:dyDescent="0.25">
      <c r="A442" s="199" t="s">
        <v>530</v>
      </c>
      <c r="B442" s="255" t="s">
        <v>57</v>
      </c>
      <c r="C442" s="257"/>
      <c r="D442" s="203" t="s">
        <v>985</v>
      </c>
      <c r="E442" s="260" t="s">
        <v>52</v>
      </c>
      <c r="F442" s="257" t="s">
        <v>987</v>
      </c>
      <c r="G442" s="207"/>
      <c r="H442" s="197" t="s">
        <v>83</v>
      </c>
      <c r="I442" s="198"/>
    </row>
    <row r="443" spans="1:9" x14ac:dyDescent="0.25">
      <c r="A443" s="236" t="s">
        <v>531</v>
      </c>
      <c r="B443" s="234" t="s">
        <v>62</v>
      </c>
      <c r="C443" s="237" t="s">
        <v>62</v>
      </c>
      <c r="D443" s="203" t="s">
        <v>985</v>
      </c>
      <c r="E443" s="203" t="s">
        <v>985</v>
      </c>
      <c r="F443" s="205" t="s">
        <v>985</v>
      </c>
      <c r="G443" s="207"/>
      <c r="H443" s="197" t="s">
        <v>29</v>
      </c>
      <c r="I443" s="198"/>
    </row>
    <row r="444" spans="1:9" x14ac:dyDescent="0.25">
      <c r="A444" s="199" t="s">
        <v>532</v>
      </c>
      <c r="B444" s="255" t="s">
        <v>986</v>
      </c>
      <c r="C444" s="257"/>
      <c r="D444" s="280" t="s">
        <v>52</v>
      </c>
      <c r="E444" s="280" t="s">
        <v>52</v>
      </c>
      <c r="F444" s="281" t="s">
        <v>52</v>
      </c>
      <c r="G444" s="207"/>
      <c r="H444" s="197" t="s">
        <v>64</v>
      </c>
      <c r="I444" s="198"/>
    </row>
    <row r="445" spans="1:9" x14ac:dyDescent="0.25">
      <c r="A445" s="236" t="s">
        <v>533</v>
      </c>
      <c r="B445" s="234" t="s">
        <v>62</v>
      </c>
      <c r="C445" s="237" t="s">
        <v>62</v>
      </c>
      <c r="D445" s="203" t="s">
        <v>985</v>
      </c>
      <c r="E445" s="203" t="s">
        <v>985</v>
      </c>
      <c r="F445" s="205" t="s">
        <v>985</v>
      </c>
      <c r="G445" s="207"/>
      <c r="H445" s="197" t="s">
        <v>29</v>
      </c>
      <c r="I445" s="198"/>
    </row>
    <row r="446" spans="1:9" x14ac:dyDescent="0.25">
      <c r="A446" s="236" t="s">
        <v>534</v>
      </c>
      <c r="B446" s="234" t="s">
        <v>62</v>
      </c>
      <c r="C446" s="237" t="s">
        <v>62</v>
      </c>
      <c r="D446" s="203" t="s">
        <v>985</v>
      </c>
      <c r="E446" s="203" t="s">
        <v>985</v>
      </c>
      <c r="F446" s="205" t="s">
        <v>985</v>
      </c>
      <c r="G446" s="207"/>
      <c r="H446" s="197" t="s">
        <v>29</v>
      </c>
      <c r="I446" s="198"/>
    </row>
    <row r="447" spans="1:9" x14ac:dyDescent="0.25">
      <c r="A447" s="236" t="s">
        <v>535</v>
      </c>
      <c r="B447" s="234" t="s">
        <v>62</v>
      </c>
      <c r="C447" s="257"/>
      <c r="D447" s="203" t="s">
        <v>985</v>
      </c>
      <c r="E447" s="203" t="s">
        <v>985</v>
      </c>
      <c r="F447" s="257" t="s">
        <v>987</v>
      </c>
      <c r="G447" s="207"/>
      <c r="H447" s="197" t="s">
        <v>37</v>
      </c>
      <c r="I447" s="198"/>
    </row>
    <row r="448" spans="1:9" x14ac:dyDescent="0.25">
      <c r="A448" s="199" t="s">
        <v>536</v>
      </c>
      <c r="B448" s="259" t="s">
        <v>51</v>
      </c>
      <c r="C448" s="257"/>
      <c r="D448" s="203" t="s">
        <v>985</v>
      </c>
      <c r="E448" s="260" t="s">
        <v>52</v>
      </c>
      <c r="F448" s="257" t="s">
        <v>987</v>
      </c>
      <c r="G448" s="207"/>
      <c r="H448" s="197" t="s">
        <v>121</v>
      </c>
      <c r="I448" s="198"/>
    </row>
    <row r="449" spans="1:9" x14ac:dyDescent="0.25">
      <c r="A449" s="199" t="s">
        <v>537</v>
      </c>
      <c r="B449" s="255" t="s">
        <v>51</v>
      </c>
      <c r="C449" s="262" t="s">
        <v>51</v>
      </c>
      <c r="D449" s="203" t="s">
        <v>985</v>
      </c>
      <c r="E449" s="203" t="s">
        <v>985</v>
      </c>
      <c r="F449" s="205" t="s">
        <v>985</v>
      </c>
      <c r="G449" s="207"/>
      <c r="H449" s="197" t="s">
        <v>30</v>
      </c>
      <c r="I449" s="198"/>
    </row>
    <row r="450" spans="1:9" x14ac:dyDescent="0.25">
      <c r="A450" s="287" t="s">
        <v>1030</v>
      </c>
      <c r="B450" s="255" t="s">
        <v>51</v>
      </c>
      <c r="C450" s="262" t="s">
        <v>51</v>
      </c>
      <c r="D450" s="203" t="s">
        <v>985</v>
      </c>
      <c r="E450" s="203" t="s">
        <v>985</v>
      </c>
      <c r="F450" s="205" t="s">
        <v>985</v>
      </c>
      <c r="G450" s="207"/>
      <c r="H450" s="197" t="s">
        <v>35</v>
      </c>
      <c r="I450" s="198"/>
    </row>
    <row r="451" spans="1:9" x14ac:dyDescent="0.25">
      <c r="A451" s="236" t="s">
        <v>539</v>
      </c>
      <c r="B451" s="265" t="s">
        <v>105</v>
      </c>
      <c r="C451" s="266" t="s">
        <v>105</v>
      </c>
      <c r="D451" s="203" t="s">
        <v>985</v>
      </c>
      <c r="E451" s="203" t="s">
        <v>985</v>
      </c>
      <c r="F451" s="205" t="s">
        <v>985</v>
      </c>
      <c r="G451" s="207"/>
      <c r="H451" s="197" t="s">
        <v>34</v>
      </c>
      <c r="I451" s="198"/>
    </row>
    <row r="452" spans="1:9" x14ac:dyDescent="0.25">
      <c r="A452" s="199" t="s">
        <v>540</v>
      </c>
      <c r="B452" s="251" t="s">
        <v>51</v>
      </c>
      <c r="C452" s="263" t="s">
        <v>51</v>
      </c>
      <c r="D452" s="203" t="s">
        <v>985</v>
      </c>
      <c r="E452" s="203" t="s">
        <v>985</v>
      </c>
      <c r="F452" s="205" t="s">
        <v>985</v>
      </c>
      <c r="G452" s="207"/>
      <c r="H452" s="197" t="s">
        <v>27</v>
      </c>
      <c r="I452" s="198"/>
    </row>
    <row r="453" spans="1:9" x14ac:dyDescent="0.25">
      <c r="A453" s="236" t="s">
        <v>541</v>
      </c>
      <c r="B453" s="265" t="s">
        <v>62</v>
      </c>
      <c r="C453" s="266" t="s">
        <v>62</v>
      </c>
      <c r="D453" s="203" t="s">
        <v>985</v>
      </c>
      <c r="E453" s="203" t="s">
        <v>985</v>
      </c>
      <c r="F453" s="205" t="s">
        <v>985</v>
      </c>
      <c r="G453" s="207"/>
      <c r="H453" s="197" t="s">
        <v>36</v>
      </c>
      <c r="I453" s="198"/>
    </row>
    <row r="454" spans="1:9" x14ac:dyDescent="0.25">
      <c r="A454" s="236" t="s">
        <v>542</v>
      </c>
      <c r="B454" s="265" t="s">
        <v>62</v>
      </c>
      <c r="C454" s="266" t="s">
        <v>62</v>
      </c>
      <c r="D454" s="203" t="s">
        <v>985</v>
      </c>
      <c r="E454" s="203" t="s">
        <v>985</v>
      </c>
      <c r="F454" s="205" t="s">
        <v>985</v>
      </c>
      <c r="G454" s="207"/>
      <c r="H454" s="197" t="s">
        <v>31</v>
      </c>
      <c r="I454" s="198"/>
    </row>
    <row r="455" spans="1:9" x14ac:dyDescent="0.25">
      <c r="A455" s="199" t="s">
        <v>543</v>
      </c>
      <c r="B455" s="261" t="s">
        <v>51</v>
      </c>
      <c r="C455" s="262" t="s">
        <v>983</v>
      </c>
      <c r="D455" s="260" t="s">
        <v>984</v>
      </c>
      <c r="E455" s="203" t="s">
        <v>985</v>
      </c>
      <c r="F455" s="205" t="s">
        <v>985</v>
      </c>
      <c r="G455" s="207"/>
      <c r="H455" s="197" t="s">
        <v>226</v>
      </c>
      <c r="I455" s="198"/>
    </row>
    <row r="456" spans="1:9" x14ac:dyDescent="0.25">
      <c r="A456" s="236" t="s">
        <v>544</v>
      </c>
      <c r="B456" s="265" t="s">
        <v>62</v>
      </c>
      <c r="C456" s="266" t="s">
        <v>62</v>
      </c>
      <c r="D456" s="203" t="s">
        <v>985</v>
      </c>
      <c r="E456" s="203" t="s">
        <v>985</v>
      </c>
      <c r="F456" s="205" t="s">
        <v>985</v>
      </c>
      <c r="G456" s="207"/>
      <c r="H456" s="197" t="s">
        <v>30</v>
      </c>
      <c r="I456" s="198"/>
    </row>
    <row r="457" spans="1:9" x14ac:dyDescent="0.25">
      <c r="A457" s="199" t="s">
        <v>545</v>
      </c>
      <c r="B457" s="255" t="s">
        <v>51</v>
      </c>
      <c r="C457" s="257"/>
      <c r="D457" s="203" t="s">
        <v>985</v>
      </c>
      <c r="E457" s="203" t="s">
        <v>985</v>
      </c>
      <c r="F457" s="257" t="s">
        <v>987</v>
      </c>
      <c r="G457" s="207"/>
      <c r="H457" s="197" t="s">
        <v>546</v>
      </c>
      <c r="I457" s="198"/>
    </row>
    <row r="458" spans="1:9" x14ac:dyDescent="0.25">
      <c r="A458" s="199" t="s">
        <v>547</v>
      </c>
      <c r="B458" s="255" t="s">
        <v>51</v>
      </c>
      <c r="C458" s="262" t="s">
        <v>983</v>
      </c>
      <c r="D458" s="203" t="s">
        <v>985</v>
      </c>
      <c r="E458" s="203" t="s">
        <v>985</v>
      </c>
      <c r="F458" s="205" t="s">
        <v>985</v>
      </c>
      <c r="G458" s="207"/>
      <c r="H458" s="197" t="s">
        <v>168</v>
      </c>
      <c r="I458" s="198"/>
    </row>
    <row r="459" spans="1:9" x14ac:dyDescent="0.25">
      <c r="A459" s="236" t="s">
        <v>548</v>
      </c>
      <c r="B459" s="265" t="s">
        <v>62</v>
      </c>
      <c r="C459" s="266" t="s">
        <v>62</v>
      </c>
      <c r="D459" s="203" t="s">
        <v>985</v>
      </c>
      <c r="E459" s="203" t="s">
        <v>985</v>
      </c>
      <c r="F459" s="205" t="s">
        <v>985</v>
      </c>
      <c r="G459" s="207"/>
      <c r="H459" s="197" t="s">
        <v>36</v>
      </c>
      <c r="I459" s="198"/>
    </row>
    <row r="460" spans="1:9" x14ac:dyDescent="0.25">
      <c r="A460" s="199" t="s">
        <v>549</v>
      </c>
      <c r="B460" s="255" t="s">
        <v>51</v>
      </c>
      <c r="C460" s="262" t="s">
        <v>51</v>
      </c>
      <c r="D460" s="203" t="s">
        <v>985</v>
      </c>
      <c r="E460" s="203" t="s">
        <v>985</v>
      </c>
      <c r="F460" s="205" t="s">
        <v>985</v>
      </c>
      <c r="G460" s="207"/>
      <c r="H460" s="197" t="s">
        <v>35</v>
      </c>
      <c r="I460" s="198"/>
    </row>
    <row r="461" spans="1:9" x14ac:dyDescent="0.25">
      <c r="A461" s="199" t="s">
        <v>550</v>
      </c>
      <c r="B461" s="261" t="s">
        <v>51</v>
      </c>
      <c r="C461" s="262" t="s">
        <v>983</v>
      </c>
      <c r="D461" s="260" t="s">
        <v>984</v>
      </c>
      <c r="E461" s="203" t="s">
        <v>985</v>
      </c>
      <c r="F461" s="205" t="s">
        <v>985</v>
      </c>
      <c r="G461" s="207"/>
      <c r="H461" s="197" t="s">
        <v>168</v>
      </c>
      <c r="I461" s="198"/>
    </row>
    <row r="462" spans="1:9" x14ac:dyDescent="0.25">
      <c r="A462" s="236" t="s">
        <v>551</v>
      </c>
      <c r="B462" s="265" t="s">
        <v>62</v>
      </c>
      <c r="C462" s="266" t="s">
        <v>62</v>
      </c>
      <c r="D462" s="203" t="s">
        <v>985</v>
      </c>
      <c r="E462" s="203" t="s">
        <v>985</v>
      </c>
      <c r="F462" s="205" t="s">
        <v>985</v>
      </c>
      <c r="G462" s="207"/>
      <c r="H462" s="197" t="s">
        <v>34</v>
      </c>
      <c r="I462" s="198"/>
    </row>
    <row r="463" spans="1:9" x14ac:dyDescent="0.25">
      <c r="A463" s="236" t="s">
        <v>552</v>
      </c>
      <c r="B463" s="234" t="s">
        <v>105</v>
      </c>
      <c r="C463" s="237" t="s">
        <v>105</v>
      </c>
      <c r="D463" s="203" t="s">
        <v>985</v>
      </c>
      <c r="E463" s="203" t="s">
        <v>985</v>
      </c>
      <c r="F463" s="205" t="s">
        <v>985</v>
      </c>
      <c r="G463" s="207"/>
      <c r="H463" s="197" t="s">
        <v>27</v>
      </c>
      <c r="I463" s="198"/>
    </row>
    <row r="464" spans="1:9" x14ac:dyDescent="0.25">
      <c r="A464" s="236" t="s">
        <v>553</v>
      </c>
      <c r="B464" s="265" t="s">
        <v>105</v>
      </c>
      <c r="C464" s="266" t="s">
        <v>105</v>
      </c>
      <c r="D464" s="203" t="s">
        <v>985</v>
      </c>
      <c r="E464" s="203" t="s">
        <v>985</v>
      </c>
      <c r="F464" s="203" t="s">
        <v>985</v>
      </c>
      <c r="G464" s="207"/>
      <c r="H464" s="197" t="s">
        <v>34</v>
      </c>
      <c r="I464" s="198"/>
    </row>
    <row r="465" spans="1:9" x14ac:dyDescent="0.25">
      <c r="A465" s="236" t="s">
        <v>554</v>
      </c>
      <c r="B465" s="276"/>
      <c r="C465" s="277"/>
      <c r="D465" s="203" t="s">
        <v>985</v>
      </c>
      <c r="E465" s="203" t="s">
        <v>985</v>
      </c>
      <c r="F465" s="197" t="s">
        <v>987</v>
      </c>
      <c r="G465" s="207"/>
      <c r="H465" s="197" t="s">
        <v>36</v>
      </c>
      <c r="I465" s="198"/>
    </row>
    <row r="466" spans="1:9" x14ac:dyDescent="0.25">
      <c r="A466" s="236" t="s">
        <v>555</v>
      </c>
      <c r="B466" s="265" t="s">
        <v>62</v>
      </c>
      <c r="C466" s="266" t="s">
        <v>62</v>
      </c>
      <c r="D466" s="203" t="s">
        <v>985</v>
      </c>
      <c r="E466" s="203" t="s">
        <v>985</v>
      </c>
      <c r="F466" s="203" t="s">
        <v>985</v>
      </c>
      <c r="G466" s="207"/>
      <c r="H466" s="197" t="s">
        <v>36</v>
      </c>
      <c r="I466" s="198"/>
    </row>
    <row r="467" spans="1:9" x14ac:dyDescent="0.25">
      <c r="A467" s="199" t="s">
        <v>556</v>
      </c>
      <c r="B467" s="269" t="s">
        <v>986</v>
      </c>
      <c r="C467" s="257"/>
      <c r="D467" s="280" t="s">
        <v>52</v>
      </c>
      <c r="E467" s="280" t="s">
        <v>52</v>
      </c>
      <c r="F467" s="280" t="s">
        <v>52</v>
      </c>
      <c r="G467" s="207"/>
      <c r="H467" s="197" t="s">
        <v>64</v>
      </c>
      <c r="I467" s="198"/>
    </row>
    <row r="468" spans="1:9" x14ac:dyDescent="0.25">
      <c r="A468" s="199" t="s">
        <v>1031</v>
      </c>
      <c r="B468" s="255" t="s">
        <v>57</v>
      </c>
      <c r="C468" s="262" t="s">
        <v>983</v>
      </c>
      <c r="D468" s="280" t="s">
        <v>52</v>
      </c>
      <c r="E468" s="280" t="s">
        <v>52</v>
      </c>
      <c r="F468" s="281" t="s">
        <v>52</v>
      </c>
      <c r="G468" s="207"/>
      <c r="H468" s="197" t="s">
        <v>53</v>
      </c>
      <c r="I468" s="198"/>
    </row>
    <row r="469" spans="1:9" x14ac:dyDescent="0.25">
      <c r="A469" s="199" t="s">
        <v>558</v>
      </c>
      <c r="B469" s="255" t="s">
        <v>986</v>
      </c>
      <c r="C469" s="257"/>
      <c r="D469" s="280" t="s">
        <v>52</v>
      </c>
      <c r="E469" s="280" t="s">
        <v>52</v>
      </c>
      <c r="F469" s="281" t="s">
        <v>52</v>
      </c>
      <c r="G469" s="207"/>
      <c r="H469" s="197" t="s">
        <v>64</v>
      </c>
      <c r="I469" s="198"/>
    </row>
    <row r="470" spans="1:9" x14ac:dyDescent="0.25">
      <c r="A470" s="199" t="s">
        <v>559</v>
      </c>
      <c r="B470" s="255" t="s">
        <v>51</v>
      </c>
      <c r="C470" s="257"/>
      <c r="D470" s="280" t="s">
        <v>52</v>
      </c>
      <c r="E470" s="280" t="s">
        <v>52</v>
      </c>
      <c r="F470" s="281" t="s">
        <v>52</v>
      </c>
      <c r="G470" s="207"/>
      <c r="H470" s="197" t="s">
        <v>75</v>
      </c>
      <c r="I470" s="198"/>
    </row>
    <row r="471" spans="1:9" x14ac:dyDescent="0.25">
      <c r="A471" s="236" t="s">
        <v>560</v>
      </c>
      <c r="B471" s="265" t="s">
        <v>105</v>
      </c>
      <c r="C471" s="266" t="s">
        <v>105</v>
      </c>
      <c r="D471" s="203" t="s">
        <v>985</v>
      </c>
      <c r="E471" s="203" t="s">
        <v>985</v>
      </c>
      <c r="F471" s="205" t="s">
        <v>985</v>
      </c>
      <c r="G471" s="207"/>
      <c r="H471" s="197" t="s">
        <v>34</v>
      </c>
      <c r="I471" s="198"/>
    </row>
    <row r="472" spans="1:9" x14ac:dyDescent="0.25">
      <c r="A472" s="199" t="s">
        <v>561</v>
      </c>
      <c r="B472" s="269" t="s">
        <v>57</v>
      </c>
      <c r="C472" s="257"/>
      <c r="D472" s="203" t="s">
        <v>985</v>
      </c>
      <c r="E472" s="203" t="s">
        <v>985</v>
      </c>
      <c r="F472" s="197" t="s">
        <v>987</v>
      </c>
      <c r="G472" s="207"/>
      <c r="H472" s="197" t="s">
        <v>27</v>
      </c>
      <c r="I472" s="198"/>
    </row>
    <row r="473" spans="1:9" x14ac:dyDescent="0.25">
      <c r="A473" s="236" t="s">
        <v>562</v>
      </c>
      <c r="B473" s="234" t="s">
        <v>62</v>
      </c>
      <c r="C473" s="237" t="s">
        <v>62</v>
      </c>
      <c r="D473" s="203" t="s">
        <v>985</v>
      </c>
      <c r="E473" s="203" t="s">
        <v>985</v>
      </c>
      <c r="F473" s="205" t="s">
        <v>985</v>
      </c>
      <c r="G473" s="207"/>
      <c r="H473" s="197" t="s">
        <v>29</v>
      </c>
      <c r="I473" s="198"/>
    </row>
    <row r="474" spans="1:9" x14ac:dyDescent="0.25">
      <c r="A474" s="199" t="s">
        <v>563</v>
      </c>
      <c r="B474" s="261" t="s">
        <v>51</v>
      </c>
      <c r="C474" s="262" t="s">
        <v>51</v>
      </c>
      <c r="D474" s="260" t="s">
        <v>984</v>
      </c>
      <c r="E474" s="203" t="s">
        <v>985</v>
      </c>
      <c r="F474" s="205" t="s">
        <v>985</v>
      </c>
      <c r="G474" s="207"/>
      <c r="H474" s="197" t="s">
        <v>35</v>
      </c>
      <c r="I474" s="198"/>
    </row>
    <row r="475" spans="1:9" x14ac:dyDescent="0.25">
      <c r="A475" s="199" t="s">
        <v>564</v>
      </c>
      <c r="B475" s="255" t="s">
        <v>51</v>
      </c>
      <c r="C475" s="257"/>
      <c r="D475" s="280" t="s">
        <v>52</v>
      </c>
      <c r="E475" s="280" t="s">
        <v>52</v>
      </c>
      <c r="F475" s="281" t="s">
        <v>52</v>
      </c>
      <c r="G475" s="207"/>
      <c r="H475" s="197" t="s">
        <v>75</v>
      </c>
      <c r="I475" s="198"/>
    </row>
    <row r="476" spans="1:9" x14ac:dyDescent="0.25">
      <c r="A476" s="199" t="s">
        <v>565</v>
      </c>
      <c r="B476" s="261" t="s">
        <v>51</v>
      </c>
      <c r="C476" s="262" t="s">
        <v>51</v>
      </c>
      <c r="D476" s="260" t="s">
        <v>984</v>
      </c>
      <c r="E476" s="203" t="s">
        <v>985</v>
      </c>
      <c r="F476" s="205" t="s">
        <v>985</v>
      </c>
      <c r="G476" s="197"/>
      <c r="H476" s="197" t="s">
        <v>35</v>
      </c>
      <c r="I476" s="198"/>
    </row>
    <row r="477" spans="1:9" x14ac:dyDescent="0.25">
      <c r="A477" s="208" t="s">
        <v>566</v>
      </c>
      <c r="B477" s="255" t="s">
        <v>51</v>
      </c>
      <c r="C477" s="262" t="s">
        <v>983</v>
      </c>
      <c r="D477" s="203" t="s">
        <v>985</v>
      </c>
      <c r="E477" s="203" t="s">
        <v>985</v>
      </c>
      <c r="F477" s="205" t="s">
        <v>985</v>
      </c>
      <c r="G477" s="207"/>
      <c r="H477" s="197" t="s">
        <v>230</v>
      </c>
      <c r="I477" s="198"/>
    </row>
    <row r="478" spans="1:9" x14ac:dyDescent="0.25">
      <c r="A478" s="199" t="s">
        <v>567</v>
      </c>
      <c r="B478" s="261" t="s">
        <v>57</v>
      </c>
      <c r="C478" s="262" t="s">
        <v>983</v>
      </c>
      <c r="D478" s="260" t="s">
        <v>984</v>
      </c>
      <c r="E478" s="203" t="s">
        <v>985</v>
      </c>
      <c r="F478" s="205" t="s">
        <v>985</v>
      </c>
      <c r="G478" s="207"/>
      <c r="H478" s="197" t="s">
        <v>78</v>
      </c>
      <c r="I478" s="198"/>
    </row>
    <row r="479" spans="1:9" x14ac:dyDescent="0.25">
      <c r="A479" s="199" t="s">
        <v>568</v>
      </c>
      <c r="B479" s="272" t="s">
        <v>569</v>
      </c>
      <c r="C479" s="262" t="s">
        <v>569</v>
      </c>
      <c r="D479" s="203" t="s">
        <v>985</v>
      </c>
      <c r="E479" s="203" t="s">
        <v>985</v>
      </c>
      <c r="F479" s="205" t="s">
        <v>985</v>
      </c>
      <c r="G479" s="207" t="s">
        <v>985</v>
      </c>
      <c r="H479" s="197" t="s">
        <v>34</v>
      </c>
      <c r="I479" s="198"/>
    </row>
    <row r="480" spans="1:9" x14ac:dyDescent="0.25">
      <c r="A480" s="236" t="s">
        <v>570</v>
      </c>
      <c r="B480" s="265" t="s">
        <v>105</v>
      </c>
      <c r="C480" s="266" t="s">
        <v>105</v>
      </c>
      <c r="D480" s="203" t="s">
        <v>985</v>
      </c>
      <c r="E480" s="203" t="s">
        <v>985</v>
      </c>
      <c r="F480" s="205" t="s">
        <v>985</v>
      </c>
      <c r="G480" s="207"/>
      <c r="H480" s="197" t="s">
        <v>34</v>
      </c>
      <c r="I480" s="198"/>
    </row>
    <row r="481" spans="1:9" x14ac:dyDescent="0.25">
      <c r="A481" s="236" t="s">
        <v>571</v>
      </c>
      <c r="B481" s="234" t="s">
        <v>62</v>
      </c>
      <c r="C481" s="237" t="s">
        <v>62</v>
      </c>
      <c r="D481" s="203" t="s">
        <v>985</v>
      </c>
      <c r="E481" s="203" t="s">
        <v>985</v>
      </c>
      <c r="F481" s="205" t="s">
        <v>985</v>
      </c>
      <c r="G481" s="207"/>
      <c r="H481" s="197" t="s">
        <v>29</v>
      </c>
      <c r="I481" s="198"/>
    </row>
    <row r="482" spans="1:9" x14ac:dyDescent="0.25">
      <c r="A482" s="236" t="s">
        <v>572</v>
      </c>
      <c r="B482" s="265" t="s">
        <v>62</v>
      </c>
      <c r="C482" s="266" t="s">
        <v>62</v>
      </c>
      <c r="D482" s="203" t="s">
        <v>985</v>
      </c>
      <c r="E482" s="203" t="s">
        <v>985</v>
      </c>
      <c r="F482" s="205" t="s">
        <v>985</v>
      </c>
      <c r="G482" s="207"/>
      <c r="H482" s="197" t="s">
        <v>36</v>
      </c>
      <c r="I482" s="198"/>
    </row>
    <row r="483" spans="1:9" x14ac:dyDescent="0.25">
      <c r="A483" s="216" t="s">
        <v>573</v>
      </c>
      <c r="B483" s="261" t="s">
        <v>51</v>
      </c>
      <c r="C483" s="262" t="s">
        <v>51</v>
      </c>
      <c r="D483" s="260" t="s">
        <v>984</v>
      </c>
      <c r="E483" s="203" t="s">
        <v>985</v>
      </c>
      <c r="F483" s="205" t="s">
        <v>985</v>
      </c>
      <c r="G483" s="207"/>
      <c r="H483" s="197" t="s">
        <v>35</v>
      </c>
      <c r="I483" s="198"/>
    </row>
    <row r="484" spans="1:9" x14ac:dyDescent="0.25">
      <c r="A484" s="216" t="s">
        <v>574</v>
      </c>
      <c r="B484" s="269" t="s">
        <v>57</v>
      </c>
      <c r="C484" s="257"/>
      <c r="D484" s="203" t="s">
        <v>985</v>
      </c>
      <c r="E484" s="203" t="s">
        <v>985</v>
      </c>
      <c r="F484" s="257" t="s">
        <v>987</v>
      </c>
      <c r="G484" s="207"/>
      <c r="H484" s="197" t="s">
        <v>27</v>
      </c>
      <c r="I484" s="198"/>
    </row>
    <row r="485" spans="1:9" x14ac:dyDescent="0.25">
      <c r="A485" s="216" t="s">
        <v>575</v>
      </c>
      <c r="B485" s="264"/>
      <c r="C485" s="225"/>
      <c r="D485" s="203" t="s">
        <v>985</v>
      </c>
      <c r="E485" s="203" t="s">
        <v>985</v>
      </c>
      <c r="F485" s="257" t="s">
        <v>987</v>
      </c>
      <c r="G485" s="207"/>
      <c r="H485" s="197" t="s">
        <v>36</v>
      </c>
      <c r="I485" s="198"/>
    </row>
    <row r="486" spans="1:9" x14ac:dyDescent="0.25">
      <c r="A486" s="236" t="s">
        <v>576</v>
      </c>
      <c r="B486" s="265" t="s">
        <v>62</v>
      </c>
      <c r="C486" s="266" t="s">
        <v>62</v>
      </c>
      <c r="D486" s="203" t="s">
        <v>985</v>
      </c>
      <c r="E486" s="203" t="s">
        <v>985</v>
      </c>
      <c r="F486" s="205" t="s">
        <v>985</v>
      </c>
      <c r="G486" s="207"/>
      <c r="H486" s="197" t="s">
        <v>36</v>
      </c>
      <c r="I486" s="198"/>
    </row>
    <row r="487" spans="1:9" x14ac:dyDescent="0.25">
      <c r="A487" s="236" t="s">
        <v>577</v>
      </c>
      <c r="B487" s="265" t="s">
        <v>105</v>
      </c>
      <c r="C487" s="266" t="s">
        <v>105</v>
      </c>
      <c r="D487" s="203" t="s">
        <v>985</v>
      </c>
      <c r="E487" s="203" t="s">
        <v>985</v>
      </c>
      <c r="F487" s="205" t="s">
        <v>985</v>
      </c>
      <c r="G487" s="207"/>
      <c r="H487" s="197" t="s">
        <v>34</v>
      </c>
      <c r="I487" s="198"/>
    </row>
    <row r="488" spans="1:9" x14ac:dyDescent="0.25">
      <c r="A488" s="236" t="s">
        <v>578</v>
      </c>
      <c r="B488" s="265" t="s">
        <v>105</v>
      </c>
      <c r="C488" s="266" t="s">
        <v>105</v>
      </c>
      <c r="D488" s="203" t="s">
        <v>985</v>
      </c>
      <c r="E488" s="203" t="s">
        <v>985</v>
      </c>
      <c r="F488" s="205" t="s">
        <v>985</v>
      </c>
      <c r="G488" s="207"/>
      <c r="H488" s="197" t="s">
        <v>34</v>
      </c>
      <c r="I488" s="198"/>
    </row>
    <row r="489" spans="1:9" x14ac:dyDescent="0.25">
      <c r="A489" s="287" t="s">
        <v>1032</v>
      </c>
      <c r="B489" s="207"/>
      <c r="C489" s="283" t="s">
        <v>989</v>
      </c>
      <c r="D489" s="197"/>
      <c r="E489" s="197"/>
      <c r="F489" s="281" t="s">
        <v>52</v>
      </c>
      <c r="G489" s="207"/>
      <c r="H489" s="197" t="s">
        <v>75</v>
      </c>
      <c r="I489" s="198"/>
    </row>
    <row r="490" spans="1:9" x14ac:dyDescent="0.25">
      <c r="A490" s="236" t="s">
        <v>579</v>
      </c>
      <c r="B490" s="265" t="s">
        <v>62</v>
      </c>
      <c r="C490" s="266" t="s">
        <v>62</v>
      </c>
      <c r="D490" s="203" t="s">
        <v>985</v>
      </c>
      <c r="E490" s="203" t="s">
        <v>985</v>
      </c>
      <c r="F490" s="205" t="s">
        <v>985</v>
      </c>
      <c r="G490" s="207"/>
      <c r="H490" s="197" t="s">
        <v>30</v>
      </c>
      <c r="I490" s="198"/>
    </row>
    <row r="491" spans="1:9" x14ac:dyDescent="0.25">
      <c r="A491" s="199" t="s">
        <v>580</v>
      </c>
      <c r="B491" s="251" t="s">
        <v>51</v>
      </c>
      <c r="C491" s="263" t="s">
        <v>51</v>
      </c>
      <c r="D491" s="203" t="s">
        <v>985</v>
      </c>
      <c r="E491" s="203" t="s">
        <v>985</v>
      </c>
      <c r="F491" s="205" t="s">
        <v>985</v>
      </c>
      <c r="G491" s="207"/>
      <c r="H491" s="197" t="s">
        <v>34</v>
      </c>
      <c r="I491" s="198"/>
    </row>
    <row r="492" spans="1:9" x14ac:dyDescent="0.25">
      <c r="A492" s="199" t="s">
        <v>581</v>
      </c>
      <c r="B492" s="258" t="s">
        <v>57</v>
      </c>
      <c r="C492" s="262" t="s">
        <v>983</v>
      </c>
      <c r="D492" s="203" t="s">
        <v>985</v>
      </c>
      <c r="E492" s="203" t="s">
        <v>985</v>
      </c>
      <c r="F492" s="205" t="s">
        <v>985</v>
      </c>
      <c r="G492" s="207"/>
      <c r="H492" s="197" t="s">
        <v>37</v>
      </c>
      <c r="I492" s="198"/>
    </row>
    <row r="493" spans="1:9" x14ac:dyDescent="0.25">
      <c r="A493" s="216" t="s">
        <v>582</v>
      </c>
      <c r="B493" s="269" t="s">
        <v>57</v>
      </c>
      <c r="C493" s="273" t="s">
        <v>983</v>
      </c>
      <c r="D493" s="203" t="s">
        <v>985</v>
      </c>
      <c r="E493" s="203" t="s">
        <v>985</v>
      </c>
      <c r="F493" s="205" t="s">
        <v>985</v>
      </c>
      <c r="G493" s="207"/>
      <c r="H493" s="197" t="s">
        <v>83</v>
      </c>
      <c r="I493" s="198"/>
    </row>
    <row r="494" spans="1:9" x14ac:dyDescent="0.25">
      <c r="A494" s="287" t="s">
        <v>1033</v>
      </c>
      <c r="B494" s="207"/>
      <c r="C494" s="273" t="s">
        <v>983</v>
      </c>
      <c r="D494" s="197"/>
      <c r="E494" s="197"/>
      <c r="F494" s="205" t="s">
        <v>985</v>
      </c>
      <c r="G494" s="207"/>
      <c r="H494" s="197" t="s">
        <v>83</v>
      </c>
      <c r="I494" s="198"/>
    </row>
    <row r="495" spans="1:9" x14ac:dyDescent="0.25">
      <c r="A495" s="199" t="s">
        <v>583</v>
      </c>
      <c r="B495" s="269" t="s">
        <v>57</v>
      </c>
      <c r="C495" s="257"/>
      <c r="D495" s="203" t="s">
        <v>985</v>
      </c>
      <c r="E495" s="203" t="s">
        <v>985</v>
      </c>
      <c r="F495" s="257" t="s">
        <v>987</v>
      </c>
      <c r="G495" s="207"/>
      <c r="H495" s="197" t="s">
        <v>83</v>
      </c>
      <c r="I495" s="198"/>
    </row>
    <row r="496" spans="1:9" x14ac:dyDescent="0.25">
      <c r="A496" s="236" t="s">
        <v>584</v>
      </c>
      <c r="B496" s="265" t="s">
        <v>62</v>
      </c>
      <c r="C496" s="266" t="s">
        <v>62</v>
      </c>
      <c r="D496" s="203" t="s">
        <v>985</v>
      </c>
      <c r="E496" s="203" t="s">
        <v>985</v>
      </c>
      <c r="F496" s="205" t="s">
        <v>985</v>
      </c>
      <c r="G496" s="207"/>
      <c r="H496" s="197" t="s">
        <v>33</v>
      </c>
      <c r="I496" s="198"/>
    </row>
    <row r="497" spans="1:9" x14ac:dyDescent="0.25">
      <c r="A497" s="236" t="s">
        <v>585</v>
      </c>
      <c r="B497" s="234" t="s">
        <v>62</v>
      </c>
      <c r="C497" s="237" t="s">
        <v>62</v>
      </c>
      <c r="D497" s="203" t="s">
        <v>985</v>
      </c>
      <c r="E497" s="203" t="s">
        <v>985</v>
      </c>
      <c r="F497" s="205" t="s">
        <v>985</v>
      </c>
      <c r="G497" s="207"/>
      <c r="H497" s="197" t="s">
        <v>29</v>
      </c>
      <c r="I497" s="198"/>
    </row>
    <row r="498" spans="1:9" x14ac:dyDescent="0.25">
      <c r="A498" s="252" t="s">
        <v>586</v>
      </c>
      <c r="B498" s="234" t="s">
        <v>62</v>
      </c>
      <c r="C498" s="237" t="s">
        <v>62</v>
      </c>
      <c r="D498" s="203" t="s">
        <v>985</v>
      </c>
      <c r="E498" s="203" t="s">
        <v>985</v>
      </c>
      <c r="F498" s="205" t="s">
        <v>985</v>
      </c>
      <c r="G498" s="207"/>
      <c r="H498" s="197" t="s">
        <v>27</v>
      </c>
      <c r="I498" s="198"/>
    </row>
    <row r="499" spans="1:9" x14ac:dyDescent="0.25">
      <c r="A499" s="236" t="s">
        <v>587</v>
      </c>
      <c r="B499" s="234" t="s">
        <v>62</v>
      </c>
      <c r="C499" s="237" t="s">
        <v>62</v>
      </c>
      <c r="D499" s="203" t="s">
        <v>985</v>
      </c>
      <c r="E499" s="203" t="s">
        <v>985</v>
      </c>
      <c r="F499" s="205" t="s">
        <v>985</v>
      </c>
      <c r="G499" s="207"/>
      <c r="H499" s="197" t="s">
        <v>27</v>
      </c>
      <c r="I499" s="198"/>
    </row>
    <row r="500" spans="1:9" x14ac:dyDescent="0.25">
      <c r="A500" s="236" t="s">
        <v>588</v>
      </c>
      <c r="B500" s="265" t="s">
        <v>62</v>
      </c>
      <c r="C500" s="266" t="s">
        <v>62</v>
      </c>
      <c r="D500" s="203" t="s">
        <v>985</v>
      </c>
      <c r="E500" s="203" t="s">
        <v>985</v>
      </c>
      <c r="F500" s="205" t="s">
        <v>985</v>
      </c>
      <c r="G500" s="207"/>
      <c r="H500" s="197" t="s">
        <v>31</v>
      </c>
      <c r="I500" s="198"/>
    </row>
    <row r="501" spans="1:9" x14ac:dyDescent="0.25">
      <c r="A501" s="236" t="s">
        <v>589</v>
      </c>
      <c r="B501" s="265" t="s">
        <v>62</v>
      </c>
      <c r="C501" s="266" t="s">
        <v>62</v>
      </c>
      <c r="D501" s="203" t="s">
        <v>985</v>
      </c>
      <c r="E501" s="203" t="s">
        <v>985</v>
      </c>
      <c r="F501" s="205" t="s">
        <v>985</v>
      </c>
      <c r="G501" s="207"/>
      <c r="H501" s="197" t="s">
        <v>31</v>
      </c>
      <c r="I501" s="198"/>
    </row>
    <row r="502" spans="1:9" x14ac:dyDescent="0.25">
      <c r="A502" s="236" t="s">
        <v>590</v>
      </c>
      <c r="B502" s="265" t="s">
        <v>62</v>
      </c>
      <c r="C502" s="266" t="s">
        <v>62</v>
      </c>
      <c r="D502" s="203" t="s">
        <v>985</v>
      </c>
      <c r="E502" s="203" t="s">
        <v>985</v>
      </c>
      <c r="F502" s="205" t="s">
        <v>985</v>
      </c>
      <c r="G502" s="197"/>
      <c r="H502" s="197" t="s">
        <v>31</v>
      </c>
      <c r="I502" s="198"/>
    </row>
    <row r="503" spans="1:9" x14ac:dyDescent="0.25">
      <c r="A503" s="216" t="s">
        <v>591</v>
      </c>
      <c r="B503" s="258" t="s">
        <v>57</v>
      </c>
      <c r="C503" s="262" t="s">
        <v>983</v>
      </c>
      <c r="D503" s="203" t="s">
        <v>985</v>
      </c>
      <c r="E503" s="203" t="s">
        <v>985</v>
      </c>
      <c r="F503" s="203" t="s">
        <v>985</v>
      </c>
      <c r="G503" s="207"/>
      <c r="H503" s="197" t="s">
        <v>136</v>
      </c>
      <c r="I503" s="198"/>
    </row>
    <row r="504" spans="1:9" x14ac:dyDescent="0.25">
      <c r="A504" s="199" t="s">
        <v>592</v>
      </c>
      <c r="B504" s="255" t="s">
        <v>51</v>
      </c>
      <c r="C504" s="262" t="s">
        <v>983</v>
      </c>
      <c r="D504" s="203" t="s">
        <v>985</v>
      </c>
      <c r="E504" s="203" t="s">
        <v>985</v>
      </c>
      <c r="F504" s="205" t="s">
        <v>985</v>
      </c>
      <c r="G504" s="207"/>
      <c r="H504" s="197" t="s">
        <v>226</v>
      </c>
      <c r="I504" s="198"/>
    </row>
    <row r="505" spans="1:9" x14ac:dyDescent="0.25">
      <c r="A505" s="199" t="s">
        <v>593</v>
      </c>
      <c r="B505" s="250" t="s">
        <v>594</v>
      </c>
      <c r="C505" s="314" t="s">
        <v>594</v>
      </c>
      <c r="D505" s="203" t="s">
        <v>985</v>
      </c>
      <c r="E505" s="203" t="s">
        <v>985</v>
      </c>
      <c r="F505" s="205" t="s">
        <v>985</v>
      </c>
      <c r="G505" s="207" t="s">
        <v>985</v>
      </c>
      <c r="H505" s="197" t="s">
        <v>28</v>
      </c>
      <c r="I505" s="198"/>
    </row>
    <row r="506" spans="1:9" x14ac:dyDescent="0.25">
      <c r="A506" s="199" t="s">
        <v>595</v>
      </c>
      <c r="B506" s="269" t="s">
        <v>986</v>
      </c>
      <c r="C506" s="257"/>
      <c r="D506" s="280" t="s">
        <v>52</v>
      </c>
      <c r="E506" s="280" t="s">
        <v>52</v>
      </c>
      <c r="F506" s="281" t="s">
        <v>52</v>
      </c>
      <c r="G506" s="207"/>
      <c r="H506" s="197" t="s">
        <v>64</v>
      </c>
      <c r="I506" s="198"/>
    </row>
    <row r="507" spans="1:9" x14ac:dyDescent="0.25">
      <c r="A507" s="287" t="s">
        <v>1034</v>
      </c>
      <c r="B507" s="207"/>
      <c r="C507" s="262" t="s">
        <v>983</v>
      </c>
      <c r="D507" s="197"/>
      <c r="E507" s="197"/>
      <c r="F507" s="205" t="s">
        <v>985</v>
      </c>
      <c r="G507" s="207"/>
      <c r="H507" s="197" t="s">
        <v>37</v>
      </c>
      <c r="I507" s="198"/>
    </row>
    <row r="508" spans="1:9" x14ac:dyDescent="0.25">
      <c r="A508" s="199" t="s">
        <v>596</v>
      </c>
      <c r="B508" s="258" t="s">
        <v>57</v>
      </c>
      <c r="C508" s="257"/>
      <c r="D508" s="203" t="s">
        <v>985</v>
      </c>
      <c r="E508" s="203" t="s">
        <v>985</v>
      </c>
      <c r="F508" s="257" t="s">
        <v>987</v>
      </c>
      <c r="G508" s="207"/>
      <c r="H508" s="197" t="s">
        <v>37</v>
      </c>
      <c r="I508" s="198"/>
    </row>
    <row r="509" spans="1:9" x14ac:dyDescent="0.25">
      <c r="A509" s="199" t="s">
        <v>597</v>
      </c>
      <c r="B509" s="261" t="s">
        <v>57</v>
      </c>
      <c r="C509" s="257"/>
      <c r="D509" s="260" t="s">
        <v>984</v>
      </c>
      <c r="E509" s="203" t="s">
        <v>985</v>
      </c>
      <c r="F509" s="257" t="s">
        <v>987</v>
      </c>
      <c r="G509" s="207"/>
      <c r="H509" s="197" t="s">
        <v>83</v>
      </c>
      <c r="I509" s="198"/>
    </row>
    <row r="510" spans="1:9" x14ac:dyDescent="0.25">
      <c r="A510" s="236" t="s">
        <v>598</v>
      </c>
      <c r="B510" s="234" t="s">
        <v>105</v>
      </c>
      <c r="C510" s="237" t="s">
        <v>105</v>
      </c>
      <c r="D510" s="203" t="s">
        <v>985</v>
      </c>
      <c r="E510" s="203" t="s">
        <v>985</v>
      </c>
      <c r="F510" s="205" t="s">
        <v>985</v>
      </c>
      <c r="G510" s="207"/>
      <c r="H510" s="197" t="s">
        <v>28</v>
      </c>
      <c r="I510" s="198"/>
    </row>
    <row r="511" spans="1:9" x14ac:dyDescent="0.25">
      <c r="A511" s="236" t="s">
        <v>599</v>
      </c>
      <c r="B511" s="234" t="s">
        <v>105</v>
      </c>
      <c r="C511" s="237" t="s">
        <v>105</v>
      </c>
      <c r="D511" s="203" t="s">
        <v>985</v>
      </c>
      <c r="E511" s="203" t="s">
        <v>985</v>
      </c>
      <c r="F511" s="205" t="s">
        <v>985</v>
      </c>
      <c r="G511" s="207"/>
      <c r="H511" s="197" t="s">
        <v>27</v>
      </c>
      <c r="I511" s="198"/>
    </row>
    <row r="512" spans="1:9" x14ac:dyDescent="0.25">
      <c r="A512" s="199" t="s">
        <v>600</v>
      </c>
      <c r="B512" s="269"/>
      <c r="C512" s="257"/>
      <c r="D512" s="203" t="s">
        <v>985</v>
      </c>
      <c r="E512" s="203" t="s">
        <v>985</v>
      </c>
      <c r="F512" s="257" t="s">
        <v>987</v>
      </c>
      <c r="G512" s="207"/>
      <c r="H512" s="197" t="s">
        <v>123</v>
      </c>
      <c r="I512" s="198"/>
    </row>
    <row r="513" spans="1:9" x14ac:dyDescent="0.25">
      <c r="A513" s="287" t="s">
        <v>1035</v>
      </c>
      <c r="B513" s="207"/>
      <c r="C513" s="262" t="s">
        <v>51</v>
      </c>
      <c r="D513" s="197"/>
      <c r="E513" s="197"/>
      <c r="F513" s="281" t="s">
        <v>52</v>
      </c>
      <c r="G513" s="207"/>
      <c r="H513" s="197" t="s">
        <v>75</v>
      </c>
      <c r="I513" s="198"/>
    </row>
    <row r="514" spans="1:9" x14ac:dyDescent="0.25">
      <c r="A514" s="199" t="s">
        <v>601</v>
      </c>
      <c r="B514" s="264" t="s">
        <v>986</v>
      </c>
      <c r="C514" s="283" t="s">
        <v>986</v>
      </c>
      <c r="D514" s="203" t="s">
        <v>985</v>
      </c>
      <c r="E514" s="203" t="s">
        <v>985</v>
      </c>
      <c r="F514" s="205" t="s">
        <v>985</v>
      </c>
      <c r="G514" s="207"/>
      <c r="H514" s="197" t="s">
        <v>136</v>
      </c>
      <c r="I514" s="198"/>
    </row>
    <row r="515" spans="1:9" x14ac:dyDescent="0.25">
      <c r="A515" s="216" t="s">
        <v>602</v>
      </c>
      <c r="B515" s="269" t="s">
        <v>57</v>
      </c>
      <c r="C515" s="262" t="s">
        <v>983</v>
      </c>
      <c r="D515" s="203" t="s">
        <v>985</v>
      </c>
      <c r="E515" s="203" t="s">
        <v>985</v>
      </c>
      <c r="F515" s="205" t="s">
        <v>985</v>
      </c>
      <c r="G515" s="207"/>
      <c r="H515" s="197" t="s">
        <v>78</v>
      </c>
      <c r="I515" s="198"/>
    </row>
    <row r="516" spans="1:9" x14ac:dyDescent="0.25">
      <c r="A516" s="287" t="s">
        <v>1036</v>
      </c>
      <c r="B516" s="207"/>
      <c r="C516" s="262" t="s">
        <v>983</v>
      </c>
      <c r="D516" s="197"/>
      <c r="E516" s="197"/>
      <c r="F516" s="205" t="s">
        <v>985</v>
      </c>
      <c r="G516" s="207"/>
      <c r="H516" s="197" t="s">
        <v>136</v>
      </c>
      <c r="I516" s="198"/>
    </row>
    <row r="517" spans="1:9" x14ac:dyDescent="0.25">
      <c r="A517" s="199" t="s">
        <v>603</v>
      </c>
      <c r="B517" s="258" t="s">
        <v>57</v>
      </c>
      <c r="C517" s="257"/>
      <c r="D517" s="203" t="s">
        <v>985</v>
      </c>
      <c r="E517" s="203" t="s">
        <v>985</v>
      </c>
      <c r="F517" s="257" t="s">
        <v>987</v>
      </c>
      <c r="G517" s="207"/>
      <c r="H517" s="197" t="s">
        <v>136</v>
      </c>
      <c r="I517" s="198"/>
    </row>
    <row r="518" spans="1:9" x14ac:dyDescent="0.25">
      <c r="A518" s="287" t="s">
        <v>1037</v>
      </c>
      <c r="B518" s="207"/>
      <c r="C518" s="262" t="s">
        <v>51</v>
      </c>
      <c r="D518" s="197"/>
      <c r="E518" s="197"/>
      <c r="F518" s="205" t="s">
        <v>985</v>
      </c>
      <c r="G518" s="207"/>
      <c r="H518" s="197" t="s">
        <v>35</v>
      </c>
      <c r="I518" s="198"/>
    </row>
    <row r="519" spans="1:9" x14ac:dyDescent="0.25">
      <c r="A519" s="199" t="s">
        <v>604</v>
      </c>
      <c r="B519" s="255" t="s">
        <v>51</v>
      </c>
      <c r="C519" s="257"/>
      <c r="D519" s="203" t="s">
        <v>985</v>
      </c>
      <c r="E519" s="203" t="s">
        <v>985</v>
      </c>
      <c r="F519" s="257" t="s">
        <v>987</v>
      </c>
      <c r="G519" s="207"/>
      <c r="H519" s="197" t="s">
        <v>35</v>
      </c>
      <c r="I519" s="198"/>
    </row>
    <row r="520" spans="1:9" x14ac:dyDescent="0.25">
      <c r="A520" s="199" t="s">
        <v>605</v>
      </c>
      <c r="B520" s="261" t="s">
        <v>51</v>
      </c>
      <c r="C520" s="262" t="s">
        <v>51</v>
      </c>
      <c r="D520" s="260" t="s">
        <v>984</v>
      </c>
      <c r="E520" s="203" t="s">
        <v>985</v>
      </c>
      <c r="F520" s="205" t="s">
        <v>985</v>
      </c>
      <c r="G520" s="207"/>
      <c r="H520" s="197" t="s">
        <v>35</v>
      </c>
      <c r="I520" s="198"/>
    </row>
    <row r="521" spans="1:9" x14ac:dyDescent="0.25">
      <c r="A521" s="236" t="s">
        <v>606</v>
      </c>
      <c r="B521" s="234" t="s">
        <v>105</v>
      </c>
      <c r="C521" s="237" t="s">
        <v>105</v>
      </c>
      <c r="D521" s="203" t="s">
        <v>985</v>
      </c>
      <c r="E521" s="203" t="s">
        <v>174</v>
      </c>
      <c r="F521" s="205" t="s">
        <v>985</v>
      </c>
      <c r="G521" s="207"/>
      <c r="H521" s="197" t="s">
        <v>28</v>
      </c>
      <c r="I521" s="198"/>
    </row>
    <row r="522" spans="1:9" x14ac:dyDescent="0.25">
      <c r="A522" s="236" t="s">
        <v>607</v>
      </c>
      <c r="B522" s="234" t="s">
        <v>62</v>
      </c>
      <c r="C522" s="237" t="s">
        <v>62</v>
      </c>
      <c r="D522" s="203" t="s">
        <v>985</v>
      </c>
      <c r="E522" s="203" t="s">
        <v>985</v>
      </c>
      <c r="F522" s="205" t="s">
        <v>985</v>
      </c>
      <c r="G522" s="207"/>
      <c r="H522" s="197" t="s">
        <v>29</v>
      </c>
      <c r="I522" s="198"/>
    </row>
    <row r="523" spans="1:9" x14ac:dyDescent="0.25">
      <c r="A523" s="332" t="s">
        <v>608</v>
      </c>
      <c r="B523" s="265" t="s">
        <v>62</v>
      </c>
      <c r="C523" s="266" t="s">
        <v>62</v>
      </c>
      <c r="D523" s="203" t="s">
        <v>985</v>
      </c>
      <c r="E523" s="203" t="s">
        <v>985</v>
      </c>
      <c r="F523" s="205" t="s">
        <v>985</v>
      </c>
      <c r="G523" s="197"/>
      <c r="H523" s="197" t="s">
        <v>36</v>
      </c>
      <c r="I523" s="198"/>
    </row>
    <row r="524" spans="1:9" x14ac:dyDescent="0.25">
      <c r="A524" s="199" t="s">
        <v>609</v>
      </c>
      <c r="B524" s="268" t="s">
        <v>57</v>
      </c>
      <c r="C524" s="262" t="s">
        <v>983</v>
      </c>
      <c r="D524" s="203" t="s">
        <v>985</v>
      </c>
      <c r="E524" s="260" t="s">
        <v>52</v>
      </c>
      <c r="F524" s="205" t="s">
        <v>985</v>
      </c>
      <c r="G524" s="207"/>
      <c r="H524" s="197" t="s">
        <v>78</v>
      </c>
      <c r="I524" s="198"/>
    </row>
    <row r="525" spans="1:9" x14ac:dyDescent="0.25">
      <c r="A525" s="236" t="s">
        <v>610</v>
      </c>
      <c r="B525" s="234" t="s">
        <v>62</v>
      </c>
      <c r="C525" s="237" t="s">
        <v>62</v>
      </c>
      <c r="D525" s="203" t="s">
        <v>985</v>
      </c>
      <c r="E525" s="203" t="s">
        <v>985</v>
      </c>
      <c r="F525" s="205" t="s">
        <v>985</v>
      </c>
      <c r="G525" s="207"/>
      <c r="H525" s="197" t="s">
        <v>29</v>
      </c>
      <c r="I525" s="198"/>
    </row>
    <row r="526" spans="1:9" x14ac:dyDescent="0.25">
      <c r="A526" s="339" t="s">
        <v>1313</v>
      </c>
      <c r="B526" s="250" t="s">
        <v>611</v>
      </c>
      <c r="C526" s="242" t="s">
        <v>611</v>
      </c>
      <c r="D526" s="203" t="s">
        <v>985</v>
      </c>
      <c r="E526" s="203" t="s">
        <v>985</v>
      </c>
      <c r="F526" s="203" t="s">
        <v>985</v>
      </c>
      <c r="G526" s="207" t="s">
        <v>985</v>
      </c>
      <c r="H526" s="197" t="s">
        <v>134</v>
      </c>
      <c r="I526" s="198"/>
    </row>
    <row r="527" spans="1:9" x14ac:dyDescent="0.25">
      <c r="A527" s="236" t="s">
        <v>612</v>
      </c>
      <c r="B527" s="265" t="s">
        <v>62</v>
      </c>
      <c r="C527" s="266" t="s">
        <v>62</v>
      </c>
      <c r="D527" s="203" t="s">
        <v>985</v>
      </c>
      <c r="E527" s="203" t="s">
        <v>985</v>
      </c>
      <c r="F527" s="203" t="s">
        <v>985</v>
      </c>
      <c r="G527" s="207"/>
      <c r="H527" s="197" t="s">
        <v>31</v>
      </c>
      <c r="I527" s="198"/>
    </row>
    <row r="528" spans="1:9" x14ac:dyDescent="0.25">
      <c r="A528" s="236" t="s">
        <v>613</v>
      </c>
      <c r="B528" s="265" t="s">
        <v>62</v>
      </c>
      <c r="C528" s="266" t="s">
        <v>62</v>
      </c>
      <c r="D528" s="203" t="s">
        <v>985</v>
      </c>
      <c r="E528" s="203" t="s">
        <v>985</v>
      </c>
      <c r="F528" s="203" t="s">
        <v>985</v>
      </c>
      <c r="G528" s="207"/>
      <c r="H528" s="197" t="s">
        <v>31</v>
      </c>
      <c r="I528" s="198"/>
    </row>
    <row r="529" spans="1:9" x14ac:dyDescent="0.25">
      <c r="A529" s="199" t="s">
        <v>614</v>
      </c>
      <c r="B529" s="255" t="s">
        <v>51</v>
      </c>
      <c r="C529" s="262" t="s">
        <v>51</v>
      </c>
      <c r="D529" s="280" t="s">
        <v>52</v>
      </c>
      <c r="E529" s="280" t="s">
        <v>52</v>
      </c>
      <c r="F529" s="281" t="s">
        <v>52</v>
      </c>
      <c r="G529" s="207"/>
      <c r="H529" s="197" t="s">
        <v>80</v>
      </c>
      <c r="I529" s="198"/>
    </row>
    <row r="530" spans="1:9" x14ac:dyDescent="0.25">
      <c r="A530" s="199" t="s">
        <v>616</v>
      </c>
      <c r="B530" s="255" t="s">
        <v>51</v>
      </c>
      <c r="C530" s="262" t="s">
        <v>51</v>
      </c>
      <c r="D530" s="280" t="s">
        <v>52</v>
      </c>
      <c r="E530" s="280" t="s">
        <v>52</v>
      </c>
      <c r="F530" s="281" t="s">
        <v>52</v>
      </c>
      <c r="G530" s="207"/>
      <c r="H530" s="197" t="s">
        <v>80</v>
      </c>
      <c r="I530" s="198"/>
    </row>
    <row r="531" spans="1:9" x14ac:dyDescent="0.25">
      <c r="A531" s="199" t="s">
        <v>617</v>
      </c>
      <c r="B531" s="255" t="s">
        <v>51</v>
      </c>
      <c r="C531" s="262" t="s">
        <v>51</v>
      </c>
      <c r="D531" s="280" t="s">
        <v>52</v>
      </c>
      <c r="E531" s="280" t="s">
        <v>52</v>
      </c>
      <c r="F531" s="281" t="s">
        <v>52</v>
      </c>
      <c r="G531" s="207"/>
      <c r="H531" s="197" t="s">
        <v>618</v>
      </c>
      <c r="I531" s="198"/>
    </row>
    <row r="532" spans="1:9" x14ac:dyDescent="0.25">
      <c r="A532" s="236" t="s">
        <v>620</v>
      </c>
      <c r="B532" s="265" t="s">
        <v>62</v>
      </c>
      <c r="C532" s="266" t="s">
        <v>62</v>
      </c>
      <c r="D532" s="203" t="s">
        <v>985</v>
      </c>
      <c r="E532" s="203" t="s">
        <v>985</v>
      </c>
      <c r="F532" s="205" t="s">
        <v>985</v>
      </c>
      <c r="G532" s="207"/>
      <c r="H532" s="197" t="s">
        <v>31</v>
      </c>
      <c r="I532" s="198"/>
    </row>
    <row r="533" spans="1:9" x14ac:dyDescent="0.25">
      <c r="A533" s="236" t="s">
        <v>621</v>
      </c>
      <c r="B533" s="234" t="s">
        <v>62</v>
      </c>
      <c r="C533" s="237" t="s">
        <v>62</v>
      </c>
      <c r="D533" s="203" t="s">
        <v>985</v>
      </c>
      <c r="E533" s="203" t="s">
        <v>985</v>
      </c>
      <c r="F533" s="205" t="s">
        <v>985</v>
      </c>
      <c r="G533" s="207"/>
      <c r="H533" s="197" t="s">
        <v>29</v>
      </c>
      <c r="I533" s="198"/>
    </row>
    <row r="534" spans="1:9" x14ac:dyDescent="0.25">
      <c r="A534" s="288" t="s">
        <v>1038</v>
      </c>
      <c r="B534" s="207"/>
      <c r="C534" s="263" t="s">
        <v>51</v>
      </c>
      <c r="D534" s="197"/>
      <c r="E534" s="197"/>
      <c r="F534" s="205" t="s">
        <v>985</v>
      </c>
      <c r="G534" s="207"/>
      <c r="H534" s="197" t="s">
        <v>34</v>
      </c>
      <c r="I534" s="198"/>
    </row>
    <row r="535" spans="1:9" x14ac:dyDescent="0.25">
      <c r="A535" s="236" t="s">
        <v>622</v>
      </c>
      <c r="B535" s="265" t="s">
        <v>62</v>
      </c>
      <c r="C535" s="266" t="s">
        <v>62</v>
      </c>
      <c r="D535" s="203" t="s">
        <v>985</v>
      </c>
      <c r="E535" s="203" t="s">
        <v>985</v>
      </c>
      <c r="F535" s="205" t="s">
        <v>985</v>
      </c>
      <c r="G535" s="207"/>
      <c r="H535" s="197" t="s">
        <v>32</v>
      </c>
      <c r="I535" s="198"/>
    </row>
    <row r="536" spans="1:9" x14ac:dyDescent="0.25">
      <c r="A536" s="236" t="s">
        <v>623</v>
      </c>
      <c r="B536" s="234" t="s">
        <v>105</v>
      </c>
      <c r="C536" s="237" t="s">
        <v>105</v>
      </c>
      <c r="D536" s="203" t="s">
        <v>985</v>
      </c>
      <c r="E536" s="203" t="s">
        <v>985</v>
      </c>
      <c r="F536" s="205" t="s">
        <v>985</v>
      </c>
      <c r="G536" s="207"/>
      <c r="H536" s="197" t="s">
        <v>134</v>
      </c>
      <c r="I536" s="198"/>
    </row>
    <row r="537" spans="1:9" x14ac:dyDescent="0.25">
      <c r="A537" s="216" t="s">
        <v>624</v>
      </c>
      <c r="B537" s="261" t="s">
        <v>57</v>
      </c>
      <c r="C537" s="273" t="s">
        <v>983</v>
      </c>
      <c r="D537" s="260" t="s">
        <v>984</v>
      </c>
      <c r="E537" s="203" t="s">
        <v>985</v>
      </c>
      <c r="F537" s="205" t="s">
        <v>985</v>
      </c>
      <c r="G537" s="207"/>
      <c r="H537" s="197" t="s">
        <v>83</v>
      </c>
      <c r="I537" s="198"/>
    </row>
    <row r="538" spans="1:9" x14ac:dyDescent="0.25">
      <c r="A538" s="236" t="s">
        <v>625</v>
      </c>
      <c r="B538" s="234" t="s">
        <v>62</v>
      </c>
      <c r="C538" s="237" t="s">
        <v>62</v>
      </c>
      <c r="D538" s="203" t="s">
        <v>985</v>
      </c>
      <c r="E538" s="203" t="s">
        <v>985</v>
      </c>
      <c r="F538" s="205" t="s">
        <v>985</v>
      </c>
      <c r="G538" s="207"/>
      <c r="H538" s="197" t="s">
        <v>27</v>
      </c>
      <c r="I538" s="198"/>
    </row>
    <row r="539" spans="1:9" x14ac:dyDescent="0.25">
      <c r="A539" s="236" t="s">
        <v>626</v>
      </c>
      <c r="B539" s="234" t="s">
        <v>105</v>
      </c>
      <c r="C539" s="237" t="s">
        <v>105</v>
      </c>
      <c r="D539" s="203" t="s">
        <v>985</v>
      </c>
      <c r="E539" s="203" t="s">
        <v>985</v>
      </c>
      <c r="F539" s="205" t="s">
        <v>985</v>
      </c>
      <c r="G539" s="207"/>
      <c r="H539" s="197" t="s">
        <v>28</v>
      </c>
      <c r="I539" s="198"/>
    </row>
    <row r="540" spans="1:9" x14ac:dyDescent="0.25">
      <c r="A540" s="236" t="s">
        <v>627</v>
      </c>
      <c r="B540" s="234" t="s">
        <v>105</v>
      </c>
      <c r="C540" s="237" t="s">
        <v>105</v>
      </c>
      <c r="D540" s="203" t="s">
        <v>985</v>
      </c>
      <c r="E540" s="203" t="s">
        <v>985</v>
      </c>
      <c r="F540" s="205" t="s">
        <v>985</v>
      </c>
      <c r="G540" s="207"/>
      <c r="H540" s="197" t="s">
        <v>28</v>
      </c>
      <c r="I540" s="198"/>
    </row>
    <row r="541" spans="1:9" x14ac:dyDescent="0.25">
      <c r="A541" s="199" t="s">
        <v>628</v>
      </c>
      <c r="B541" s="255" t="s">
        <v>51</v>
      </c>
      <c r="C541" s="257"/>
      <c r="D541" s="203" t="s">
        <v>985</v>
      </c>
      <c r="E541" s="203" t="s">
        <v>985</v>
      </c>
      <c r="F541" s="257" t="s">
        <v>987</v>
      </c>
      <c r="G541" s="207"/>
      <c r="H541" s="197" t="s">
        <v>35</v>
      </c>
      <c r="I541" s="198"/>
    </row>
    <row r="542" spans="1:9" x14ac:dyDescent="0.25">
      <c r="A542" s="287" t="s">
        <v>1039</v>
      </c>
      <c r="B542" s="207"/>
      <c r="C542" s="262" t="s">
        <v>51</v>
      </c>
      <c r="D542" s="197"/>
      <c r="E542" s="197"/>
      <c r="F542" s="205" t="s">
        <v>985</v>
      </c>
      <c r="G542" s="207"/>
      <c r="H542" s="197" t="s">
        <v>35</v>
      </c>
      <c r="I542" s="198"/>
    </row>
    <row r="543" spans="1:9" x14ac:dyDescent="0.25">
      <c r="A543" s="199" t="s">
        <v>629</v>
      </c>
      <c r="B543" s="255" t="s">
        <v>51</v>
      </c>
      <c r="C543" s="262" t="s">
        <v>983</v>
      </c>
      <c r="D543" s="203" t="s">
        <v>985</v>
      </c>
      <c r="E543" s="203" t="s">
        <v>985</v>
      </c>
      <c r="F543" s="205" t="s">
        <v>985</v>
      </c>
      <c r="G543" s="207"/>
      <c r="H543" s="197" t="s">
        <v>168</v>
      </c>
      <c r="I543" s="198"/>
    </row>
    <row r="544" spans="1:9" x14ac:dyDescent="0.25">
      <c r="A544" s="222" t="s">
        <v>630</v>
      </c>
      <c r="B544" s="343" t="s">
        <v>51</v>
      </c>
      <c r="C544" s="262" t="s">
        <v>983</v>
      </c>
      <c r="D544" s="260" t="s">
        <v>984</v>
      </c>
      <c r="E544" s="203" t="s">
        <v>985</v>
      </c>
      <c r="F544" s="205" t="s">
        <v>985</v>
      </c>
      <c r="G544" s="207"/>
      <c r="H544" s="197" t="s">
        <v>230</v>
      </c>
      <c r="I544" s="198"/>
    </row>
    <row r="545" spans="1:9" x14ac:dyDescent="0.25">
      <c r="A545" s="340" t="s">
        <v>631</v>
      </c>
      <c r="B545" s="292"/>
      <c r="C545" s="257"/>
      <c r="D545" s="203" t="s">
        <v>985</v>
      </c>
      <c r="E545" s="203" t="s">
        <v>985</v>
      </c>
      <c r="F545" s="257" t="s">
        <v>987</v>
      </c>
      <c r="G545" s="207"/>
      <c r="H545" s="197" t="s">
        <v>27</v>
      </c>
      <c r="I545" s="198"/>
    </row>
    <row r="546" spans="1:9" x14ac:dyDescent="0.25">
      <c r="A546" s="199" t="s">
        <v>632</v>
      </c>
      <c r="B546" s="261" t="s">
        <v>57</v>
      </c>
      <c r="C546" s="257"/>
      <c r="D546" s="260" t="s">
        <v>984</v>
      </c>
      <c r="E546" s="203" t="s">
        <v>985</v>
      </c>
      <c r="F546" s="257" t="s">
        <v>987</v>
      </c>
      <c r="G546" s="207"/>
      <c r="H546" s="197" t="s">
        <v>35</v>
      </c>
      <c r="I546" s="198"/>
    </row>
    <row r="547" spans="1:9" x14ac:dyDescent="0.25">
      <c r="A547" s="216" t="s">
        <v>633</v>
      </c>
      <c r="B547" s="269" t="s">
        <v>57</v>
      </c>
      <c r="C547" s="273" t="s">
        <v>983</v>
      </c>
      <c r="D547" s="203" t="s">
        <v>985</v>
      </c>
      <c r="E547" s="203" t="s">
        <v>985</v>
      </c>
      <c r="F547" s="205" t="s">
        <v>985</v>
      </c>
      <c r="G547" s="197"/>
      <c r="H547" s="197" t="s">
        <v>83</v>
      </c>
      <c r="I547" s="198"/>
    </row>
    <row r="548" spans="1:9" x14ac:dyDescent="0.25">
      <c r="A548" s="236" t="s">
        <v>634</v>
      </c>
      <c r="B548" s="265" t="s">
        <v>62</v>
      </c>
      <c r="C548" s="266" t="s">
        <v>62</v>
      </c>
      <c r="D548" s="203" t="s">
        <v>985</v>
      </c>
      <c r="E548" s="203" t="s">
        <v>985</v>
      </c>
      <c r="F548" s="205" t="s">
        <v>985</v>
      </c>
      <c r="G548" s="207"/>
      <c r="H548" s="197" t="s">
        <v>33</v>
      </c>
      <c r="I548" s="198"/>
    </row>
    <row r="549" spans="1:9" x14ac:dyDescent="0.25">
      <c r="A549" s="199" t="s">
        <v>635</v>
      </c>
      <c r="B549" s="251" t="s">
        <v>51</v>
      </c>
      <c r="C549" s="263" t="s">
        <v>51</v>
      </c>
      <c r="D549" s="203" t="s">
        <v>985</v>
      </c>
      <c r="E549" s="203" t="s">
        <v>985</v>
      </c>
      <c r="F549" s="205" t="s">
        <v>985</v>
      </c>
      <c r="G549" s="207"/>
      <c r="H549" s="197" t="s">
        <v>30</v>
      </c>
      <c r="I549" s="198"/>
    </row>
    <row r="550" spans="1:9" x14ac:dyDescent="0.25">
      <c r="A550" s="208" t="s">
        <v>636</v>
      </c>
      <c r="B550" s="297" t="s">
        <v>119</v>
      </c>
      <c r="C550" s="289" t="s">
        <v>119</v>
      </c>
      <c r="D550" s="260" t="s">
        <v>984</v>
      </c>
      <c r="E550" s="203" t="s">
        <v>985</v>
      </c>
      <c r="F550" s="205" t="s">
        <v>985</v>
      </c>
      <c r="G550" s="207" t="s">
        <v>985</v>
      </c>
      <c r="H550" s="197" t="s">
        <v>168</v>
      </c>
      <c r="I550" s="198"/>
    </row>
    <row r="551" spans="1:9" x14ac:dyDescent="0.25">
      <c r="A551" s="236" t="s">
        <v>637</v>
      </c>
      <c r="B551" s="234" t="s">
        <v>105</v>
      </c>
      <c r="C551" s="237" t="s">
        <v>105</v>
      </c>
      <c r="D551" s="203" t="s">
        <v>985</v>
      </c>
      <c r="E551" s="203" t="s">
        <v>985</v>
      </c>
      <c r="F551" s="205" t="s">
        <v>985</v>
      </c>
      <c r="G551" s="207"/>
      <c r="H551" s="197" t="s">
        <v>28</v>
      </c>
      <c r="I551" s="198"/>
    </row>
    <row r="552" spans="1:9" x14ac:dyDescent="0.25">
      <c r="A552" s="208" t="s">
        <v>638</v>
      </c>
      <c r="B552" s="259" t="s">
        <v>51</v>
      </c>
      <c r="C552" s="257"/>
      <c r="D552" s="203" t="s">
        <v>985</v>
      </c>
      <c r="E552" s="260" t="s">
        <v>52</v>
      </c>
      <c r="F552" s="257" t="s">
        <v>987</v>
      </c>
      <c r="G552" s="207"/>
      <c r="H552" s="197" t="s">
        <v>125</v>
      </c>
      <c r="I552" s="198"/>
    </row>
    <row r="553" spans="1:9" x14ac:dyDescent="0.25">
      <c r="A553" s="199" t="s">
        <v>639</v>
      </c>
      <c r="B553" s="255" t="s">
        <v>51</v>
      </c>
      <c r="C553" s="257"/>
      <c r="D553" s="203" t="s">
        <v>985</v>
      </c>
      <c r="E553" s="203" t="s">
        <v>985</v>
      </c>
      <c r="F553" s="257" t="s">
        <v>987</v>
      </c>
      <c r="G553" s="207"/>
      <c r="H553" s="197" t="s">
        <v>125</v>
      </c>
      <c r="I553" s="198"/>
    </row>
    <row r="554" spans="1:9" x14ac:dyDescent="0.25">
      <c r="A554" s="199" t="s">
        <v>640</v>
      </c>
      <c r="B554" s="251" t="s">
        <v>51</v>
      </c>
      <c r="C554" s="263" t="s">
        <v>51</v>
      </c>
      <c r="D554" s="203" t="s">
        <v>985</v>
      </c>
      <c r="E554" s="203" t="s">
        <v>985</v>
      </c>
      <c r="F554" s="205" t="s">
        <v>985</v>
      </c>
      <c r="G554" s="207"/>
      <c r="H554" s="197" t="s">
        <v>31</v>
      </c>
      <c r="I554" s="198"/>
    </row>
    <row r="555" spans="1:9" x14ac:dyDescent="0.25">
      <c r="A555" s="199" t="s">
        <v>641</v>
      </c>
      <c r="B555" s="259" t="s">
        <v>51</v>
      </c>
      <c r="C555" s="257"/>
      <c r="D555" s="203" t="s">
        <v>985</v>
      </c>
      <c r="E555" s="260" t="s">
        <v>52</v>
      </c>
      <c r="F555" s="257" t="s">
        <v>987</v>
      </c>
      <c r="G555" s="207"/>
      <c r="H555" s="197" t="s">
        <v>123</v>
      </c>
      <c r="I555" s="198"/>
    </row>
    <row r="556" spans="1:9" x14ac:dyDescent="0.25">
      <c r="A556" s="199" t="s">
        <v>642</v>
      </c>
      <c r="B556" s="251" t="s">
        <v>51</v>
      </c>
      <c r="C556" s="263" t="s">
        <v>51</v>
      </c>
      <c r="D556" s="260" t="s">
        <v>984</v>
      </c>
      <c r="E556" s="203" t="s">
        <v>985</v>
      </c>
      <c r="F556" s="205" t="s">
        <v>985</v>
      </c>
      <c r="G556" s="207"/>
      <c r="H556" s="197" t="s">
        <v>32</v>
      </c>
      <c r="I556" s="198"/>
    </row>
    <row r="557" spans="1:9" x14ac:dyDescent="0.25">
      <c r="A557" s="199" t="s">
        <v>643</v>
      </c>
      <c r="B557" s="264"/>
      <c r="C557" s="225"/>
      <c r="D557" s="203" t="s">
        <v>985</v>
      </c>
      <c r="E557" s="203" t="s">
        <v>985</v>
      </c>
      <c r="F557" s="257" t="s">
        <v>987</v>
      </c>
      <c r="G557" s="207"/>
      <c r="H557" s="197" t="s">
        <v>36</v>
      </c>
      <c r="I557" s="198"/>
    </row>
    <row r="558" spans="1:9" x14ac:dyDescent="0.25">
      <c r="A558" s="199" t="s">
        <v>644</v>
      </c>
      <c r="B558" s="269" t="s">
        <v>57</v>
      </c>
      <c r="C558" s="257"/>
      <c r="D558" s="203" t="s">
        <v>985</v>
      </c>
      <c r="E558" s="203" t="s">
        <v>985</v>
      </c>
      <c r="F558" s="257" t="s">
        <v>987</v>
      </c>
      <c r="G558" s="207"/>
      <c r="H558" s="197" t="s">
        <v>83</v>
      </c>
      <c r="I558" s="198"/>
    </row>
    <row r="559" spans="1:9" x14ac:dyDescent="0.25">
      <c r="A559" s="236" t="s">
        <v>645</v>
      </c>
      <c r="B559" s="234" t="s">
        <v>62</v>
      </c>
      <c r="C559" s="237" t="s">
        <v>62</v>
      </c>
      <c r="D559" s="203" t="s">
        <v>985</v>
      </c>
      <c r="E559" s="203" t="s">
        <v>985</v>
      </c>
      <c r="F559" s="205" t="s">
        <v>985</v>
      </c>
      <c r="G559" s="207"/>
      <c r="H559" s="197" t="s">
        <v>29</v>
      </c>
      <c r="I559" s="198"/>
    </row>
    <row r="560" spans="1:9" x14ac:dyDescent="0.25">
      <c r="A560" s="236" t="s">
        <v>646</v>
      </c>
      <c r="B560" s="265" t="s">
        <v>62</v>
      </c>
      <c r="C560" s="266" t="s">
        <v>62</v>
      </c>
      <c r="D560" s="203" t="s">
        <v>985</v>
      </c>
      <c r="E560" s="203" t="s">
        <v>985</v>
      </c>
      <c r="F560" s="205" t="s">
        <v>985</v>
      </c>
      <c r="G560" s="207"/>
      <c r="H560" s="197" t="s">
        <v>33</v>
      </c>
      <c r="I560" s="198"/>
    </row>
    <row r="561" spans="1:9" x14ac:dyDescent="0.25">
      <c r="A561" s="236" t="s">
        <v>647</v>
      </c>
      <c r="B561" s="265" t="s">
        <v>62</v>
      </c>
      <c r="C561" s="266" t="s">
        <v>62</v>
      </c>
      <c r="D561" s="203" t="s">
        <v>985</v>
      </c>
      <c r="E561" s="203" t="s">
        <v>985</v>
      </c>
      <c r="F561" s="205" t="s">
        <v>985</v>
      </c>
      <c r="G561" s="207"/>
      <c r="H561" s="197" t="s">
        <v>33</v>
      </c>
      <c r="I561" s="198"/>
    </row>
    <row r="562" spans="1:9" x14ac:dyDescent="0.25">
      <c r="A562" s="236" t="s">
        <v>648</v>
      </c>
      <c r="B562" s="265" t="s">
        <v>62</v>
      </c>
      <c r="C562" s="266" t="s">
        <v>62</v>
      </c>
      <c r="D562" s="203" t="s">
        <v>985</v>
      </c>
      <c r="E562" s="203" t="s">
        <v>985</v>
      </c>
      <c r="F562" s="205" t="s">
        <v>985</v>
      </c>
      <c r="G562" s="207"/>
      <c r="H562" s="197" t="s">
        <v>33</v>
      </c>
      <c r="I562" s="198"/>
    </row>
    <row r="563" spans="1:9" x14ac:dyDescent="0.25">
      <c r="A563" s="236" t="s">
        <v>649</v>
      </c>
      <c r="B563" s="265" t="s">
        <v>62</v>
      </c>
      <c r="C563" s="266" t="s">
        <v>62</v>
      </c>
      <c r="D563" s="203" t="s">
        <v>985</v>
      </c>
      <c r="E563" s="203" t="s">
        <v>985</v>
      </c>
      <c r="F563" s="205" t="s">
        <v>985</v>
      </c>
      <c r="G563" s="207"/>
      <c r="H563" s="197" t="s">
        <v>33</v>
      </c>
      <c r="I563" s="198"/>
    </row>
    <row r="564" spans="1:9" x14ac:dyDescent="0.25">
      <c r="A564" s="236" t="s">
        <v>650</v>
      </c>
      <c r="B564" s="234" t="s">
        <v>62</v>
      </c>
      <c r="C564" s="237" t="s">
        <v>62</v>
      </c>
      <c r="D564" s="203" t="s">
        <v>985</v>
      </c>
      <c r="E564" s="203" t="s">
        <v>985</v>
      </c>
      <c r="F564" s="205" t="s">
        <v>985</v>
      </c>
      <c r="G564" s="207"/>
      <c r="H564" s="197" t="s">
        <v>29</v>
      </c>
      <c r="I564" s="198"/>
    </row>
    <row r="565" spans="1:9" x14ac:dyDescent="0.25">
      <c r="A565" s="199" t="s">
        <v>651</v>
      </c>
      <c r="B565" s="255" t="s">
        <v>51</v>
      </c>
      <c r="C565" s="262" t="s">
        <v>983</v>
      </c>
      <c r="D565" s="203" t="s">
        <v>985</v>
      </c>
      <c r="E565" s="203" t="s">
        <v>985</v>
      </c>
      <c r="F565" s="203" t="s">
        <v>985</v>
      </c>
      <c r="G565" s="207"/>
      <c r="H565" s="197" t="s">
        <v>95</v>
      </c>
      <c r="I565" s="198"/>
    </row>
    <row r="566" spans="1:9" x14ac:dyDescent="0.25">
      <c r="A566" s="199" t="s">
        <v>652</v>
      </c>
      <c r="B566" s="255" t="s">
        <v>51</v>
      </c>
      <c r="C566" s="262" t="s">
        <v>983</v>
      </c>
      <c r="D566" s="203" t="s">
        <v>985</v>
      </c>
      <c r="E566" s="203" t="s">
        <v>985</v>
      </c>
      <c r="F566" s="205" t="s">
        <v>985</v>
      </c>
      <c r="G566" s="207"/>
      <c r="H566" s="197" t="s">
        <v>95</v>
      </c>
      <c r="I566" s="198"/>
    </row>
    <row r="567" spans="1:9" x14ac:dyDescent="0.25">
      <c r="A567" s="199" t="s">
        <v>654</v>
      </c>
      <c r="B567" s="255" t="s">
        <v>51</v>
      </c>
      <c r="C567" s="262" t="s">
        <v>51</v>
      </c>
      <c r="D567" s="203" t="s">
        <v>985</v>
      </c>
      <c r="E567" s="203" t="s">
        <v>985</v>
      </c>
      <c r="F567" s="205" t="s">
        <v>985</v>
      </c>
      <c r="G567" s="207"/>
      <c r="H567" s="197" t="s">
        <v>35</v>
      </c>
      <c r="I567" s="206"/>
    </row>
    <row r="568" spans="1:9" x14ac:dyDescent="0.25">
      <c r="A568" s="236" t="s">
        <v>655</v>
      </c>
      <c r="B568" s="265" t="s">
        <v>105</v>
      </c>
      <c r="C568" s="266" t="s">
        <v>105</v>
      </c>
      <c r="D568" s="280" t="s">
        <v>52</v>
      </c>
      <c r="E568" s="280" t="s">
        <v>52</v>
      </c>
      <c r="F568" s="281" t="s">
        <v>52</v>
      </c>
      <c r="G568" s="207"/>
      <c r="H568" s="197" t="s">
        <v>75</v>
      </c>
      <c r="I568" s="198"/>
    </row>
    <row r="569" spans="1:9" x14ac:dyDescent="0.25">
      <c r="A569" s="287" t="s">
        <v>1040</v>
      </c>
      <c r="B569" s="269" t="s">
        <v>57</v>
      </c>
      <c r="C569" s="262" t="s">
        <v>983</v>
      </c>
      <c r="D569" s="203" t="s">
        <v>985</v>
      </c>
      <c r="E569" s="203" t="s">
        <v>985</v>
      </c>
      <c r="F569" s="205" t="s">
        <v>985</v>
      </c>
      <c r="G569" s="207"/>
      <c r="H569" s="197" t="s">
        <v>78</v>
      </c>
      <c r="I569" s="198"/>
    </row>
    <row r="570" spans="1:9" x14ac:dyDescent="0.25">
      <c r="A570" s="287" t="s">
        <v>1041</v>
      </c>
      <c r="B570" s="207"/>
      <c r="C570" s="263" t="s">
        <v>983</v>
      </c>
      <c r="D570" s="197"/>
      <c r="E570" s="197"/>
      <c r="F570" s="205" t="s">
        <v>985</v>
      </c>
      <c r="G570" s="207"/>
      <c r="H570" s="197" t="s">
        <v>125</v>
      </c>
      <c r="I570" s="198"/>
    </row>
    <row r="571" spans="1:9" x14ac:dyDescent="0.25">
      <c r="A571" s="199" t="s">
        <v>657</v>
      </c>
      <c r="B571" s="261" t="s">
        <v>51</v>
      </c>
      <c r="C571" s="257"/>
      <c r="D571" s="260" t="s">
        <v>984</v>
      </c>
      <c r="E571" s="203" t="s">
        <v>985</v>
      </c>
      <c r="F571" s="257" t="s">
        <v>987</v>
      </c>
      <c r="G571" s="207"/>
      <c r="H571" s="197" t="s">
        <v>125</v>
      </c>
      <c r="I571" s="198"/>
    </row>
    <row r="572" spans="1:9" x14ac:dyDescent="0.25">
      <c r="A572" s="199" t="s">
        <v>658</v>
      </c>
      <c r="B572" s="251" t="s">
        <v>57</v>
      </c>
      <c r="C572" s="263" t="s">
        <v>983</v>
      </c>
      <c r="D572" s="203" t="s">
        <v>985</v>
      </c>
      <c r="E572" s="203" t="s">
        <v>985</v>
      </c>
      <c r="F572" s="205" t="s">
        <v>985</v>
      </c>
      <c r="G572" s="207"/>
      <c r="H572" s="197" t="s">
        <v>659</v>
      </c>
      <c r="I572" s="198"/>
    </row>
    <row r="573" spans="1:9" x14ac:dyDescent="0.25">
      <c r="A573" s="236" t="s">
        <v>660</v>
      </c>
      <c r="B573" s="234" t="s">
        <v>62</v>
      </c>
      <c r="C573" s="237" t="s">
        <v>62</v>
      </c>
      <c r="D573" s="203" t="s">
        <v>985</v>
      </c>
      <c r="E573" s="203" t="s">
        <v>985</v>
      </c>
      <c r="F573" s="205" t="s">
        <v>985</v>
      </c>
      <c r="G573" s="207"/>
      <c r="H573" s="197" t="s">
        <v>29</v>
      </c>
      <c r="I573" s="198"/>
    </row>
    <row r="574" spans="1:9" x14ac:dyDescent="0.25">
      <c r="A574" s="236" t="s">
        <v>661</v>
      </c>
      <c r="B574" s="265" t="s">
        <v>62</v>
      </c>
      <c r="C574" s="266" t="s">
        <v>62</v>
      </c>
      <c r="D574" s="203" t="s">
        <v>985</v>
      </c>
      <c r="E574" s="203" t="s">
        <v>985</v>
      </c>
      <c r="F574" s="205" t="s">
        <v>985</v>
      </c>
      <c r="G574" s="207"/>
      <c r="H574" s="197" t="s">
        <v>31</v>
      </c>
      <c r="I574" s="198"/>
    </row>
    <row r="575" spans="1:9" x14ac:dyDescent="0.25">
      <c r="A575" s="236" t="s">
        <v>662</v>
      </c>
      <c r="B575" s="265" t="s">
        <v>105</v>
      </c>
      <c r="C575" s="266" t="s">
        <v>105</v>
      </c>
      <c r="D575" s="203" t="s">
        <v>985</v>
      </c>
      <c r="E575" s="203" t="s">
        <v>985</v>
      </c>
      <c r="F575" s="205" t="s">
        <v>985</v>
      </c>
      <c r="G575" s="207"/>
      <c r="H575" s="197" t="s">
        <v>35</v>
      </c>
      <c r="I575" s="198"/>
    </row>
    <row r="576" spans="1:9" x14ac:dyDescent="0.25">
      <c r="A576" s="199" t="s">
        <v>663</v>
      </c>
      <c r="B576" s="255" t="s">
        <v>51</v>
      </c>
      <c r="C576" s="257"/>
      <c r="D576" s="203" t="s">
        <v>985</v>
      </c>
      <c r="E576" s="203" t="s">
        <v>985</v>
      </c>
      <c r="F576" s="197" t="s">
        <v>987</v>
      </c>
      <c r="G576" s="207"/>
      <c r="H576" s="197" t="s">
        <v>125</v>
      </c>
      <c r="I576" s="198"/>
    </row>
    <row r="577" spans="1:9" x14ac:dyDescent="0.25">
      <c r="A577" s="236" t="s">
        <v>664</v>
      </c>
      <c r="B577" s="265" t="s">
        <v>62</v>
      </c>
      <c r="C577" s="266" t="s">
        <v>62</v>
      </c>
      <c r="D577" s="203" t="s">
        <v>985</v>
      </c>
      <c r="E577" s="203" t="s">
        <v>985</v>
      </c>
      <c r="F577" s="205" t="s">
        <v>985</v>
      </c>
      <c r="G577" s="207"/>
      <c r="H577" s="197" t="s">
        <v>33</v>
      </c>
      <c r="I577" s="198"/>
    </row>
    <row r="578" spans="1:9" x14ac:dyDescent="0.25">
      <c r="A578" s="199" t="s">
        <v>665</v>
      </c>
      <c r="B578" s="261" t="s">
        <v>57</v>
      </c>
      <c r="C578" s="262" t="s">
        <v>983</v>
      </c>
      <c r="D578" s="260" t="s">
        <v>984</v>
      </c>
      <c r="E578" s="203" t="s">
        <v>985</v>
      </c>
      <c r="F578" s="205" t="s">
        <v>985</v>
      </c>
      <c r="G578" s="207"/>
      <c r="H578" s="197" t="s">
        <v>37</v>
      </c>
      <c r="I578" s="198"/>
    </row>
    <row r="579" spans="1:9" x14ac:dyDescent="0.25">
      <c r="A579" s="199" t="s">
        <v>666</v>
      </c>
      <c r="B579" s="255" t="s">
        <v>51</v>
      </c>
      <c r="C579" s="257"/>
      <c r="D579" s="280" t="s">
        <v>52</v>
      </c>
      <c r="E579" s="280" t="s">
        <v>52</v>
      </c>
      <c r="F579" s="281" t="s">
        <v>52</v>
      </c>
      <c r="G579" s="207"/>
      <c r="H579" s="197" t="s">
        <v>80</v>
      </c>
      <c r="I579" s="198"/>
    </row>
    <row r="580" spans="1:9" x14ac:dyDescent="0.25">
      <c r="A580" s="236" t="s">
        <v>667</v>
      </c>
      <c r="B580" s="234" t="s">
        <v>62</v>
      </c>
      <c r="C580" s="257"/>
      <c r="D580" s="203" t="s">
        <v>985</v>
      </c>
      <c r="E580" s="203" t="s">
        <v>985</v>
      </c>
      <c r="F580" s="257" t="s">
        <v>987</v>
      </c>
      <c r="G580" s="207"/>
      <c r="H580" s="197" t="s">
        <v>37</v>
      </c>
      <c r="I580" s="198"/>
    </row>
    <row r="581" spans="1:9" x14ac:dyDescent="0.25">
      <c r="A581" s="216" t="s">
        <v>668</v>
      </c>
      <c r="B581" s="255" t="s">
        <v>51</v>
      </c>
      <c r="C581" s="257"/>
      <c r="D581" s="203" t="s">
        <v>985</v>
      </c>
      <c r="E581" s="203" t="s">
        <v>985</v>
      </c>
      <c r="F581" s="257" t="s">
        <v>987</v>
      </c>
      <c r="G581" s="207"/>
      <c r="H581" s="197" t="s">
        <v>35</v>
      </c>
      <c r="I581" s="198"/>
    </row>
    <row r="582" spans="1:9" x14ac:dyDescent="0.25">
      <c r="A582" s="287" t="s">
        <v>1042</v>
      </c>
      <c r="B582" s="207"/>
      <c r="C582" s="262" t="s">
        <v>51</v>
      </c>
      <c r="D582" s="197"/>
      <c r="E582" s="197"/>
      <c r="F582" s="205" t="s">
        <v>985</v>
      </c>
      <c r="G582" s="207"/>
      <c r="H582" s="197" t="s">
        <v>35</v>
      </c>
      <c r="I582" s="198"/>
    </row>
    <row r="583" spans="1:9" x14ac:dyDescent="0.25">
      <c r="A583" s="216" t="s">
        <v>669</v>
      </c>
      <c r="B583" s="258" t="s">
        <v>152</v>
      </c>
      <c r="C583" s="284" t="s">
        <v>996</v>
      </c>
      <c r="D583" s="203" t="s">
        <v>985</v>
      </c>
      <c r="E583" s="203" t="s">
        <v>985</v>
      </c>
      <c r="F583" s="205" t="s">
        <v>985</v>
      </c>
      <c r="G583" s="197"/>
      <c r="H583" s="197" t="s">
        <v>136</v>
      </c>
      <c r="I583" s="198"/>
    </row>
    <row r="584" spans="1:9" x14ac:dyDescent="0.25">
      <c r="A584" s="216" t="s">
        <v>670</v>
      </c>
      <c r="B584" s="278"/>
      <c r="C584" s="279"/>
      <c r="D584" s="203" t="s">
        <v>985</v>
      </c>
      <c r="E584" s="203" t="s">
        <v>985</v>
      </c>
      <c r="F584" s="257" t="s">
        <v>987</v>
      </c>
      <c r="G584" s="207"/>
      <c r="H584" s="197" t="s">
        <v>36</v>
      </c>
      <c r="I584" s="198"/>
    </row>
    <row r="585" spans="1:9" x14ac:dyDescent="0.25">
      <c r="A585" s="216" t="s">
        <v>671</v>
      </c>
      <c r="B585" s="258" t="s">
        <v>57</v>
      </c>
      <c r="C585" s="284" t="s">
        <v>983</v>
      </c>
      <c r="D585" s="203" t="s">
        <v>985</v>
      </c>
      <c r="E585" s="203" t="s">
        <v>985</v>
      </c>
      <c r="F585" s="280" t="s">
        <v>52</v>
      </c>
      <c r="G585" s="207"/>
      <c r="H585" s="197" t="s">
        <v>75</v>
      </c>
      <c r="I585" s="198"/>
    </row>
    <row r="586" spans="1:9" x14ac:dyDescent="0.25">
      <c r="A586" s="216" t="s">
        <v>672</v>
      </c>
      <c r="B586" s="293" t="s">
        <v>383</v>
      </c>
      <c r="C586" s="257"/>
      <c r="D586" s="203" t="s">
        <v>985</v>
      </c>
      <c r="E586" s="203" t="s">
        <v>985</v>
      </c>
      <c r="F586" s="257" t="s">
        <v>987</v>
      </c>
      <c r="G586" s="207" t="s">
        <v>985</v>
      </c>
      <c r="H586" s="197" t="s">
        <v>83</v>
      </c>
      <c r="I586" s="198"/>
    </row>
    <row r="587" spans="1:9" x14ac:dyDescent="0.25">
      <c r="A587" s="236" t="s">
        <v>673</v>
      </c>
      <c r="B587" s="265" t="s">
        <v>62</v>
      </c>
      <c r="C587" s="266" t="s">
        <v>62</v>
      </c>
      <c r="D587" s="203" t="s">
        <v>985</v>
      </c>
      <c r="E587" s="203" t="s">
        <v>985</v>
      </c>
      <c r="F587" s="205" t="s">
        <v>985</v>
      </c>
      <c r="G587" s="207"/>
      <c r="H587" s="197" t="s">
        <v>33</v>
      </c>
      <c r="I587" s="198"/>
    </row>
    <row r="588" spans="1:9" x14ac:dyDescent="0.25">
      <c r="A588" s="199" t="s">
        <v>674</v>
      </c>
      <c r="B588" s="258" t="s">
        <v>986</v>
      </c>
      <c r="C588" s="257"/>
      <c r="D588" s="280" t="s">
        <v>52</v>
      </c>
      <c r="E588" s="280" t="s">
        <v>52</v>
      </c>
      <c r="F588" s="281" t="s">
        <v>52</v>
      </c>
      <c r="G588" s="207"/>
      <c r="H588" s="197" t="s">
        <v>64</v>
      </c>
      <c r="I588" s="198"/>
    </row>
    <row r="589" spans="1:9" x14ac:dyDescent="0.25">
      <c r="A589" s="236" t="s">
        <v>675</v>
      </c>
      <c r="B589" s="265" t="s">
        <v>105</v>
      </c>
      <c r="C589" s="266" t="s">
        <v>105</v>
      </c>
      <c r="D589" s="203" t="s">
        <v>985</v>
      </c>
      <c r="E589" s="203" t="s">
        <v>985</v>
      </c>
      <c r="F589" s="205" t="s">
        <v>985</v>
      </c>
      <c r="G589" s="207"/>
      <c r="H589" s="197" t="s">
        <v>34</v>
      </c>
      <c r="I589" s="198"/>
    </row>
    <row r="590" spans="1:9" x14ac:dyDescent="0.25">
      <c r="A590" s="199" t="s">
        <v>676</v>
      </c>
      <c r="B590" s="269" t="s">
        <v>57</v>
      </c>
      <c r="C590" s="262" t="s">
        <v>983</v>
      </c>
      <c r="D590" s="203" t="s">
        <v>985</v>
      </c>
      <c r="E590" s="203" t="s">
        <v>985</v>
      </c>
      <c r="F590" s="205" t="s">
        <v>985</v>
      </c>
      <c r="G590" s="207"/>
      <c r="H590" s="197" t="s">
        <v>83</v>
      </c>
      <c r="I590" s="198"/>
    </row>
    <row r="591" spans="1:9" x14ac:dyDescent="0.25">
      <c r="A591" s="236" t="s">
        <v>677</v>
      </c>
      <c r="B591" s="265" t="s">
        <v>62</v>
      </c>
      <c r="C591" s="266" t="s">
        <v>62</v>
      </c>
      <c r="D591" s="203" t="s">
        <v>985</v>
      </c>
      <c r="E591" s="203" t="s">
        <v>985</v>
      </c>
      <c r="F591" s="205" t="s">
        <v>985</v>
      </c>
      <c r="G591" s="207"/>
      <c r="H591" s="197" t="s">
        <v>36</v>
      </c>
      <c r="I591" s="198"/>
    </row>
    <row r="592" spans="1:9" x14ac:dyDescent="0.25">
      <c r="A592" s="199" t="s">
        <v>678</v>
      </c>
      <c r="B592" s="269" t="s">
        <v>57</v>
      </c>
      <c r="C592" s="262" t="s">
        <v>983</v>
      </c>
      <c r="D592" s="203" t="s">
        <v>985</v>
      </c>
      <c r="E592" s="203" t="s">
        <v>985</v>
      </c>
      <c r="F592" s="203" t="s">
        <v>985</v>
      </c>
      <c r="G592" s="207"/>
      <c r="H592" s="197" t="s">
        <v>78</v>
      </c>
      <c r="I592" s="198"/>
    </row>
    <row r="593" spans="1:9" x14ac:dyDescent="0.25">
      <c r="A593" s="199" t="s">
        <v>679</v>
      </c>
      <c r="B593" s="255" t="s">
        <v>51</v>
      </c>
      <c r="C593" s="273" t="s">
        <v>983</v>
      </c>
      <c r="D593" s="203" t="s">
        <v>985</v>
      </c>
      <c r="E593" s="203" t="s">
        <v>985</v>
      </c>
      <c r="F593" s="205" t="s">
        <v>985</v>
      </c>
      <c r="G593" s="207"/>
      <c r="H593" s="197" t="s">
        <v>168</v>
      </c>
      <c r="I593" s="198"/>
    </row>
    <row r="594" spans="1:9" x14ac:dyDescent="0.25">
      <c r="A594" s="199" t="s">
        <v>680</v>
      </c>
      <c r="B594" s="255" t="s">
        <v>51</v>
      </c>
      <c r="C594" s="263" t="s">
        <v>983</v>
      </c>
      <c r="D594" s="203" t="s">
        <v>985</v>
      </c>
      <c r="E594" s="203" t="s">
        <v>985</v>
      </c>
      <c r="F594" s="205" t="s">
        <v>985</v>
      </c>
      <c r="G594" s="197"/>
      <c r="H594" s="197" t="s">
        <v>136</v>
      </c>
      <c r="I594" s="198"/>
    </row>
    <row r="595" spans="1:9" x14ac:dyDescent="0.25">
      <c r="A595" s="199" t="s">
        <v>1043</v>
      </c>
      <c r="B595" s="255" t="s">
        <v>51</v>
      </c>
      <c r="C595" s="263" t="s">
        <v>983</v>
      </c>
      <c r="D595" s="280" t="s">
        <v>52</v>
      </c>
      <c r="E595" s="280" t="s">
        <v>52</v>
      </c>
      <c r="F595" s="281" t="s">
        <v>52</v>
      </c>
      <c r="G595" s="207"/>
      <c r="H595" s="197" t="s">
        <v>80</v>
      </c>
      <c r="I595" s="198"/>
    </row>
    <row r="596" spans="1:9" x14ac:dyDescent="0.25">
      <c r="A596" s="199" t="s">
        <v>682</v>
      </c>
      <c r="B596" s="255" t="s">
        <v>51</v>
      </c>
      <c r="C596" s="262" t="s">
        <v>983</v>
      </c>
      <c r="D596" s="203" t="s">
        <v>985</v>
      </c>
      <c r="E596" s="203" t="s">
        <v>985</v>
      </c>
      <c r="F596" s="203" t="s">
        <v>985</v>
      </c>
      <c r="G596" s="207"/>
      <c r="H596" s="197" t="s">
        <v>226</v>
      </c>
      <c r="I596" s="198"/>
    </row>
    <row r="597" spans="1:9" x14ac:dyDescent="0.25">
      <c r="A597" s="199" t="s">
        <v>683</v>
      </c>
      <c r="B597" s="293" t="s">
        <v>286</v>
      </c>
      <c r="C597" s="284" t="s">
        <v>286</v>
      </c>
      <c r="D597" s="203" t="s">
        <v>985</v>
      </c>
      <c r="E597" s="203" t="s">
        <v>985</v>
      </c>
      <c r="F597" s="203" t="s">
        <v>985</v>
      </c>
      <c r="G597" s="207" t="s">
        <v>985</v>
      </c>
      <c r="H597" s="197" t="s">
        <v>168</v>
      </c>
      <c r="I597" s="198"/>
    </row>
    <row r="598" spans="1:9" x14ac:dyDescent="0.25">
      <c r="A598" s="236" t="s">
        <v>684</v>
      </c>
      <c r="B598" s="234" t="s">
        <v>62</v>
      </c>
      <c r="C598" s="257"/>
      <c r="D598" s="203" t="s">
        <v>985</v>
      </c>
      <c r="E598" s="203" t="s">
        <v>985</v>
      </c>
      <c r="F598" s="257" t="s">
        <v>987</v>
      </c>
      <c r="G598" s="207"/>
      <c r="H598" s="197" t="s">
        <v>685</v>
      </c>
      <c r="I598" s="198"/>
    </row>
    <row r="599" spans="1:9" x14ac:dyDescent="0.25">
      <c r="A599" s="199" t="s">
        <v>686</v>
      </c>
      <c r="B599" s="258" t="s">
        <v>986</v>
      </c>
      <c r="C599" s="257"/>
      <c r="D599" s="280" t="s">
        <v>52</v>
      </c>
      <c r="E599" s="280" t="s">
        <v>52</v>
      </c>
      <c r="F599" s="281" t="s">
        <v>52</v>
      </c>
      <c r="G599" s="207"/>
      <c r="H599" s="197" t="s">
        <v>64</v>
      </c>
      <c r="I599" s="198"/>
    </row>
    <row r="600" spans="1:9" x14ac:dyDescent="0.25">
      <c r="A600" s="199" t="s">
        <v>1044</v>
      </c>
      <c r="B600" s="258" t="s">
        <v>57</v>
      </c>
      <c r="C600" s="284" t="s">
        <v>983</v>
      </c>
      <c r="D600" s="280" t="s">
        <v>52</v>
      </c>
      <c r="E600" s="280" t="s">
        <v>52</v>
      </c>
      <c r="F600" s="281" t="s">
        <v>52</v>
      </c>
      <c r="G600" s="207"/>
      <c r="H600" s="197" t="s">
        <v>53</v>
      </c>
      <c r="I600" s="198"/>
    </row>
    <row r="601" spans="1:9" x14ac:dyDescent="0.25">
      <c r="A601" s="199" t="s">
        <v>687</v>
      </c>
      <c r="B601" s="278"/>
      <c r="C601" s="279"/>
      <c r="D601" s="203" t="s">
        <v>985</v>
      </c>
      <c r="E601" s="203" t="s">
        <v>985</v>
      </c>
      <c r="F601" s="257" t="s">
        <v>987</v>
      </c>
      <c r="G601" s="207"/>
      <c r="H601" s="197" t="s">
        <v>36</v>
      </c>
      <c r="I601" s="198"/>
    </row>
    <row r="602" spans="1:9" x14ac:dyDescent="0.25">
      <c r="A602" s="252" t="s">
        <v>688</v>
      </c>
      <c r="B602" s="271" t="s">
        <v>62</v>
      </c>
      <c r="C602" s="266" t="s">
        <v>62</v>
      </c>
      <c r="D602" s="203" t="s">
        <v>985</v>
      </c>
      <c r="E602" s="203" t="s">
        <v>985</v>
      </c>
      <c r="F602" s="205" t="s">
        <v>985</v>
      </c>
      <c r="G602" s="207"/>
      <c r="H602" s="197" t="s">
        <v>31</v>
      </c>
      <c r="I602" s="198"/>
    </row>
    <row r="603" spans="1:9" x14ac:dyDescent="0.25">
      <c r="A603" s="199" t="s">
        <v>689</v>
      </c>
      <c r="B603" s="255" t="s">
        <v>51</v>
      </c>
      <c r="C603" s="262" t="s">
        <v>51</v>
      </c>
      <c r="D603" s="203" t="s">
        <v>985</v>
      </c>
      <c r="E603" s="203" t="s">
        <v>985</v>
      </c>
      <c r="F603" s="205" t="s">
        <v>985</v>
      </c>
      <c r="G603" s="207"/>
      <c r="H603" s="197" t="s">
        <v>30</v>
      </c>
      <c r="I603" s="198"/>
    </row>
    <row r="604" spans="1:9" x14ac:dyDescent="0.25">
      <c r="A604" s="246" t="s">
        <v>690</v>
      </c>
      <c r="B604" s="234" t="s">
        <v>105</v>
      </c>
      <c r="C604" s="237" t="s">
        <v>105</v>
      </c>
      <c r="D604" s="203" t="s">
        <v>985</v>
      </c>
      <c r="E604" s="203" t="s">
        <v>985</v>
      </c>
      <c r="F604" s="205" t="s">
        <v>985</v>
      </c>
      <c r="G604" s="207"/>
      <c r="H604" s="197" t="s">
        <v>134</v>
      </c>
      <c r="I604" s="198"/>
    </row>
    <row r="605" spans="1:9" x14ac:dyDescent="0.25">
      <c r="A605" s="236" t="s">
        <v>691</v>
      </c>
      <c r="B605" s="265" t="s">
        <v>62</v>
      </c>
      <c r="C605" s="266" t="s">
        <v>62</v>
      </c>
      <c r="D605" s="203" t="s">
        <v>985</v>
      </c>
      <c r="E605" s="203" t="s">
        <v>985</v>
      </c>
      <c r="F605" s="205" t="s">
        <v>985</v>
      </c>
      <c r="G605" s="207"/>
      <c r="H605" s="197" t="s">
        <v>31</v>
      </c>
      <c r="I605" s="198"/>
    </row>
    <row r="606" spans="1:9" x14ac:dyDescent="0.25">
      <c r="A606" s="236" t="s">
        <v>692</v>
      </c>
      <c r="B606" s="265" t="s">
        <v>62</v>
      </c>
      <c r="C606" s="266" t="s">
        <v>62</v>
      </c>
      <c r="D606" s="203" t="s">
        <v>985</v>
      </c>
      <c r="E606" s="203" t="s">
        <v>985</v>
      </c>
      <c r="F606" s="205" t="s">
        <v>985</v>
      </c>
      <c r="G606" s="207"/>
      <c r="H606" s="197" t="s">
        <v>31</v>
      </c>
      <c r="I606" s="198"/>
    </row>
    <row r="607" spans="1:9" x14ac:dyDescent="0.25">
      <c r="A607" s="199" t="s">
        <v>693</v>
      </c>
      <c r="B607" s="296" t="s">
        <v>57</v>
      </c>
      <c r="C607" s="257"/>
      <c r="D607" s="260" t="s">
        <v>984</v>
      </c>
      <c r="E607" s="203" t="s">
        <v>985</v>
      </c>
      <c r="F607" s="197" t="s">
        <v>987</v>
      </c>
      <c r="G607" s="207"/>
      <c r="H607" s="197" t="s">
        <v>136</v>
      </c>
      <c r="I607" s="198"/>
    </row>
    <row r="608" spans="1:9" x14ac:dyDescent="0.25">
      <c r="A608" s="287" t="s">
        <v>1045</v>
      </c>
      <c r="B608" s="258" t="s">
        <v>57</v>
      </c>
      <c r="C608" s="262" t="s">
        <v>983</v>
      </c>
      <c r="D608" s="203" t="s">
        <v>985</v>
      </c>
      <c r="E608" s="203" t="s">
        <v>985</v>
      </c>
      <c r="F608" s="205" t="s">
        <v>985</v>
      </c>
      <c r="G608" s="207"/>
      <c r="H608" s="197" t="s">
        <v>136</v>
      </c>
      <c r="I608" s="198"/>
    </row>
    <row r="609" spans="1:9" x14ac:dyDescent="0.25">
      <c r="A609" s="236" t="s">
        <v>695</v>
      </c>
      <c r="B609" s="265" t="s">
        <v>105</v>
      </c>
      <c r="C609" s="266" t="s">
        <v>105</v>
      </c>
      <c r="D609" s="203" t="s">
        <v>985</v>
      </c>
      <c r="E609" s="203" t="s">
        <v>985</v>
      </c>
      <c r="F609" s="205" t="s">
        <v>985</v>
      </c>
      <c r="G609" s="207"/>
      <c r="H609" s="197" t="s">
        <v>35</v>
      </c>
      <c r="I609" s="198"/>
    </row>
    <row r="610" spans="1:9" x14ac:dyDescent="0.25">
      <c r="A610" s="287" t="s">
        <v>1046</v>
      </c>
      <c r="B610" s="255" t="s">
        <v>51</v>
      </c>
      <c r="C610" s="262" t="s">
        <v>983</v>
      </c>
      <c r="D610" s="280" t="s">
        <v>52</v>
      </c>
      <c r="E610" s="280" t="s">
        <v>52</v>
      </c>
      <c r="F610" s="281" t="s">
        <v>52</v>
      </c>
      <c r="G610" s="207"/>
      <c r="H610" s="197" t="s">
        <v>53</v>
      </c>
      <c r="I610" s="198"/>
    </row>
    <row r="611" spans="1:9" x14ac:dyDescent="0.25">
      <c r="A611" s="216" t="s">
        <v>696</v>
      </c>
      <c r="B611" s="258"/>
      <c r="C611" s="257"/>
      <c r="D611" s="203" t="s">
        <v>985</v>
      </c>
      <c r="E611" s="203" t="s">
        <v>985</v>
      </c>
      <c r="F611" s="257" t="s">
        <v>987</v>
      </c>
      <c r="G611" s="207"/>
      <c r="H611" s="197" t="s">
        <v>35</v>
      </c>
      <c r="I611" s="198"/>
    </row>
    <row r="612" spans="1:9" x14ac:dyDescent="0.25">
      <c r="A612" s="216" t="s">
        <v>697</v>
      </c>
      <c r="B612" s="255" t="s">
        <v>51</v>
      </c>
      <c r="C612" s="257"/>
      <c r="D612" s="203" t="s">
        <v>985</v>
      </c>
      <c r="E612" s="260" t="s">
        <v>52</v>
      </c>
      <c r="F612" s="257" t="s">
        <v>987</v>
      </c>
      <c r="G612" s="207"/>
      <c r="H612" s="197" t="s">
        <v>35</v>
      </c>
      <c r="I612" s="198"/>
    </row>
    <row r="613" spans="1:9" x14ac:dyDescent="0.25">
      <c r="A613" s="287" t="s">
        <v>1047</v>
      </c>
      <c r="B613" s="207"/>
      <c r="C613" s="262" t="s">
        <v>51</v>
      </c>
      <c r="D613" s="197"/>
      <c r="E613" s="197"/>
      <c r="F613" s="203" t="s">
        <v>985</v>
      </c>
      <c r="G613" s="207"/>
      <c r="H613" s="197" t="s">
        <v>35</v>
      </c>
      <c r="I613" s="198"/>
    </row>
    <row r="614" spans="1:9" x14ac:dyDescent="0.25">
      <c r="A614" s="216" t="s">
        <v>698</v>
      </c>
      <c r="B614" s="269" t="s">
        <v>57</v>
      </c>
      <c r="C614" s="262" t="s">
        <v>983</v>
      </c>
      <c r="D614" s="203" t="s">
        <v>985</v>
      </c>
      <c r="E614" s="203" t="s">
        <v>985</v>
      </c>
      <c r="F614" s="205" t="s">
        <v>985</v>
      </c>
      <c r="G614" s="207"/>
      <c r="H614" s="197" t="s">
        <v>78</v>
      </c>
      <c r="I614" s="198"/>
    </row>
    <row r="615" spans="1:9" x14ac:dyDescent="0.25">
      <c r="A615" s="236" t="s">
        <v>699</v>
      </c>
      <c r="B615" s="265" t="s">
        <v>62</v>
      </c>
      <c r="C615" s="266" t="s">
        <v>62</v>
      </c>
      <c r="D615" s="203" t="s">
        <v>985</v>
      </c>
      <c r="E615" s="203" t="s">
        <v>985</v>
      </c>
      <c r="F615" s="205" t="s">
        <v>985</v>
      </c>
      <c r="G615" s="207"/>
      <c r="H615" s="197" t="s">
        <v>31</v>
      </c>
      <c r="I615" s="198"/>
    </row>
    <row r="616" spans="1:9" x14ac:dyDescent="0.25">
      <c r="A616" s="216" t="s">
        <v>700</v>
      </c>
      <c r="B616" s="269" t="s">
        <v>986</v>
      </c>
      <c r="C616" s="257"/>
      <c r="D616" s="280" t="s">
        <v>52</v>
      </c>
      <c r="E616" s="280" t="s">
        <v>52</v>
      </c>
      <c r="F616" s="281" t="s">
        <v>52</v>
      </c>
      <c r="G616" s="207"/>
      <c r="H616" s="197" t="s">
        <v>64</v>
      </c>
      <c r="I616" s="198"/>
    </row>
    <row r="617" spans="1:9" x14ac:dyDescent="0.25">
      <c r="A617" s="216" t="s">
        <v>701</v>
      </c>
      <c r="B617" s="269" t="s">
        <v>57</v>
      </c>
      <c r="C617" s="262" t="s">
        <v>51</v>
      </c>
      <c r="D617" s="203" t="s">
        <v>985</v>
      </c>
      <c r="E617" s="203" t="s">
        <v>985</v>
      </c>
      <c r="F617" s="205" t="s">
        <v>985</v>
      </c>
      <c r="G617" s="207"/>
      <c r="H617" s="197" t="s">
        <v>35</v>
      </c>
      <c r="I617" s="198"/>
    </row>
    <row r="618" spans="1:9" x14ac:dyDescent="0.25">
      <c r="A618" s="236" t="s">
        <v>702</v>
      </c>
      <c r="B618" s="265" t="s">
        <v>105</v>
      </c>
      <c r="C618" s="266" t="s">
        <v>105</v>
      </c>
      <c r="D618" s="203" t="s">
        <v>985</v>
      </c>
      <c r="E618" s="203" t="s">
        <v>985</v>
      </c>
      <c r="F618" s="205" t="s">
        <v>985</v>
      </c>
      <c r="G618" s="207"/>
      <c r="H618" s="197" t="s">
        <v>34</v>
      </c>
      <c r="I618" s="198"/>
    </row>
    <row r="619" spans="1:9" x14ac:dyDescent="0.25">
      <c r="A619" s="236" t="s">
        <v>703</v>
      </c>
      <c r="B619" s="234" t="s">
        <v>105</v>
      </c>
      <c r="C619" s="237" t="s">
        <v>105</v>
      </c>
      <c r="D619" s="203" t="s">
        <v>985</v>
      </c>
      <c r="E619" s="203" t="s">
        <v>985</v>
      </c>
      <c r="F619" s="205" t="s">
        <v>985</v>
      </c>
      <c r="G619" s="207"/>
      <c r="H619" s="197" t="s">
        <v>28</v>
      </c>
      <c r="I619" s="198"/>
    </row>
    <row r="620" spans="1:9" x14ac:dyDescent="0.25">
      <c r="A620" s="236" t="s">
        <v>704</v>
      </c>
      <c r="B620" s="234" t="s">
        <v>105</v>
      </c>
      <c r="C620" s="237" t="s">
        <v>105</v>
      </c>
      <c r="D620" s="203" t="s">
        <v>985</v>
      </c>
      <c r="E620" s="203" t="s">
        <v>985</v>
      </c>
      <c r="F620" s="205" t="s">
        <v>985</v>
      </c>
      <c r="G620" s="207"/>
      <c r="H620" s="197" t="s">
        <v>28</v>
      </c>
      <c r="I620" s="198"/>
    </row>
    <row r="621" spans="1:9" x14ac:dyDescent="0.25">
      <c r="A621" s="216" t="s">
        <v>705</v>
      </c>
      <c r="B621" s="255" t="s">
        <v>51</v>
      </c>
      <c r="C621" s="200" t="s">
        <v>51</v>
      </c>
      <c r="D621" s="203" t="s">
        <v>985</v>
      </c>
      <c r="E621" s="203" t="s">
        <v>985</v>
      </c>
      <c r="F621" s="205" t="s">
        <v>985</v>
      </c>
      <c r="G621" s="207"/>
      <c r="H621" s="197" t="s">
        <v>28</v>
      </c>
      <c r="I621" s="198"/>
    </row>
    <row r="622" spans="1:9" x14ac:dyDescent="0.25">
      <c r="A622" s="236" t="s">
        <v>706</v>
      </c>
      <c r="B622" s="234" t="s">
        <v>62</v>
      </c>
      <c r="C622" s="237" t="s">
        <v>62</v>
      </c>
      <c r="D622" s="203" t="s">
        <v>985</v>
      </c>
      <c r="E622" s="203" t="s">
        <v>985</v>
      </c>
      <c r="F622" s="205" t="s">
        <v>985</v>
      </c>
      <c r="G622" s="207"/>
      <c r="H622" s="197" t="s">
        <v>29</v>
      </c>
      <c r="I622" s="198"/>
    </row>
    <row r="623" spans="1:9" x14ac:dyDescent="0.25">
      <c r="A623" s="236" t="s">
        <v>707</v>
      </c>
      <c r="B623" s="234" t="s">
        <v>105</v>
      </c>
      <c r="C623" s="237" t="s">
        <v>105</v>
      </c>
      <c r="D623" s="203" t="s">
        <v>985</v>
      </c>
      <c r="E623" s="203" t="s">
        <v>985</v>
      </c>
      <c r="F623" s="205" t="s">
        <v>985</v>
      </c>
      <c r="G623" s="207"/>
      <c r="H623" s="197" t="s">
        <v>28</v>
      </c>
      <c r="I623" s="198"/>
    </row>
    <row r="624" spans="1:9" x14ac:dyDescent="0.25">
      <c r="A624" s="199" t="s">
        <v>708</v>
      </c>
      <c r="B624" s="255" t="s">
        <v>51</v>
      </c>
      <c r="C624" s="262" t="s">
        <v>983</v>
      </c>
      <c r="D624" s="203" t="s">
        <v>985</v>
      </c>
      <c r="E624" s="203" t="s">
        <v>985</v>
      </c>
      <c r="F624" s="205" t="s">
        <v>985</v>
      </c>
      <c r="G624" s="207"/>
      <c r="H624" s="197" t="s">
        <v>168</v>
      </c>
      <c r="I624" s="198"/>
    </row>
    <row r="625" spans="1:9" x14ac:dyDescent="0.25">
      <c r="A625" s="275" t="s">
        <v>709</v>
      </c>
      <c r="B625" s="264"/>
      <c r="C625" s="225"/>
      <c r="D625" s="203" t="s">
        <v>985</v>
      </c>
      <c r="E625" s="203" t="s">
        <v>985</v>
      </c>
      <c r="F625" s="257" t="s">
        <v>987</v>
      </c>
      <c r="G625" s="207"/>
      <c r="H625" s="197" t="s">
        <v>36</v>
      </c>
      <c r="I625" s="198"/>
    </row>
    <row r="626" spans="1:9" x14ac:dyDescent="0.25">
      <c r="A626" s="236" t="s">
        <v>710</v>
      </c>
      <c r="B626" s="265" t="s">
        <v>62</v>
      </c>
      <c r="C626" s="266" t="s">
        <v>62</v>
      </c>
      <c r="D626" s="203" t="s">
        <v>985</v>
      </c>
      <c r="E626" s="203" t="s">
        <v>985</v>
      </c>
      <c r="F626" s="205" t="s">
        <v>985</v>
      </c>
      <c r="G626" s="207"/>
      <c r="H626" s="197" t="s">
        <v>31</v>
      </c>
      <c r="I626" s="198"/>
    </row>
    <row r="627" spans="1:9" x14ac:dyDescent="0.25">
      <c r="A627" s="199" t="s">
        <v>711</v>
      </c>
      <c r="B627" s="269" t="s">
        <v>57</v>
      </c>
      <c r="C627" s="262" t="s">
        <v>51</v>
      </c>
      <c r="D627" s="203" t="s">
        <v>985</v>
      </c>
      <c r="E627" s="203" t="s">
        <v>985</v>
      </c>
      <c r="F627" s="205" t="s">
        <v>985</v>
      </c>
      <c r="G627" s="207"/>
      <c r="H627" s="197" t="s">
        <v>32</v>
      </c>
      <c r="I627" s="198"/>
    </row>
    <row r="628" spans="1:9" x14ac:dyDescent="0.25">
      <c r="A628" s="199" t="s">
        <v>712</v>
      </c>
      <c r="B628" s="255" t="s">
        <v>51</v>
      </c>
      <c r="C628" s="257"/>
      <c r="D628" s="203" t="s">
        <v>985</v>
      </c>
      <c r="E628" s="203" t="s">
        <v>174</v>
      </c>
      <c r="F628" s="257" t="s">
        <v>987</v>
      </c>
      <c r="G628" s="207"/>
      <c r="H628" s="197" t="s">
        <v>95</v>
      </c>
      <c r="I628" s="198"/>
    </row>
    <row r="629" spans="1:9" x14ac:dyDescent="0.25">
      <c r="A629" s="199" t="s">
        <v>713</v>
      </c>
      <c r="B629" s="259" t="s">
        <v>51</v>
      </c>
      <c r="C629" s="257"/>
      <c r="D629" s="203" t="s">
        <v>985</v>
      </c>
      <c r="E629" s="260" t="s">
        <v>52</v>
      </c>
      <c r="F629" s="257" t="s">
        <v>987</v>
      </c>
      <c r="G629" s="207"/>
      <c r="H629" s="197" t="s">
        <v>95</v>
      </c>
      <c r="I629" s="198"/>
    </row>
    <row r="630" spans="1:9" x14ac:dyDescent="0.25">
      <c r="A630" s="236" t="s">
        <v>714</v>
      </c>
      <c r="B630" s="265" t="s">
        <v>62</v>
      </c>
      <c r="C630" s="266" t="s">
        <v>62</v>
      </c>
      <c r="D630" s="203" t="s">
        <v>985</v>
      </c>
      <c r="E630" s="203" t="s">
        <v>985</v>
      </c>
      <c r="F630" s="205" t="s">
        <v>985</v>
      </c>
      <c r="G630" s="207"/>
      <c r="H630" s="197" t="s">
        <v>30</v>
      </c>
      <c r="I630" s="198"/>
    </row>
    <row r="631" spans="1:9" x14ac:dyDescent="0.25">
      <c r="A631" s="216" t="s">
        <v>715</v>
      </c>
      <c r="B631" s="261" t="s">
        <v>57</v>
      </c>
      <c r="C631" s="273" t="s">
        <v>983</v>
      </c>
      <c r="D631" s="260" t="s">
        <v>984</v>
      </c>
      <c r="E631" s="203" t="s">
        <v>985</v>
      </c>
      <c r="F631" s="205" t="s">
        <v>985</v>
      </c>
      <c r="G631" s="207"/>
      <c r="H631" s="197" t="s">
        <v>83</v>
      </c>
      <c r="I631" s="198"/>
    </row>
    <row r="632" spans="1:9" x14ac:dyDescent="0.25">
      <c r="A632" s="236" t="s">
        <v>716</v>
      </c>
      <c r="B632" s="234" t="s">
        <v>62</v>
      </c>
      <c r="C632" s="237" t="s">
        <v>62</v>
      </c>
      <c r="D632" s="203" t="s">
        <v>985</v>
      </c>
      <c r="E632" s="203" t="s">
        <v>985</v>
      </c>
      <c r="F632" s="205" t="s">
        <v>985</v>
      </c>
      <c r="G632" s="207"/>
      <c r="H632" s="197" t="s">
        <v>29</v>
      </c>
      <c r="I632" s="198"/>
    </row>
    <row r="633" spans="1:9" x14ac:dyDescent="0.25">
      <c r="A633" s="236" t="s">
        <v>717</v>
      </c>
      <c r="B633" s="234" t="s">
        <v>62</v>
      </c>
      <c r="C633" s="237" t="s">
        <v>62</v>
      </c>
      <c r="D633" s="203" t="s">
        <v>985</v>
      </c>
      <c r="E633" s="203" t="s">
        <v>985</v>
      </c>
      <c r="F633" s="205" t="s">
        <v>985</v>
      </c>
      <c r="G633" s="207"/>
      <c r="H633" s="197" t="s">
        <v>27</v>
      </c>
      <c r="I633" s="198"/>
    </row>
    <row r="634" spans="1:9" x14ac:dyDescent="0.25">
      <c r="A634" s="236" t="s">
        <v>718</v>
      </c>
      <c r="B634" s="265" t="s">
        <v>62</v>
      </c>
      <c r="C634" s="266" t="s">
        <v>62</v>
      </c>
      <c r="D634" s="203" t="s">
        <v>985</v>
      </c>
      <c r="E634" s="203" t="s">
        <v>985</v>
      </c>
      <c r="F634" s="203" t="s">
        <v>985</v>
      </c>
      <c r="G634" s="207"/>
      <c r="H634" s="197" t="s">
        <v>36</v>
      </c>
      <c r="I634" s="198"/>
    </row>
    <row r="635" spans="1:9" x14ac:dyDescent="0.25">
      <c r="A635" s="287" t="s">
        <v>1048</v>
      </c>
      <c r="B635" s="255" t="s">
        <v>51</v>
      </c>
      <c r="C635" s="262" t="s">
        <v>983</v>
      </c>
      <c r="D635" s="203" t="s">
        <v>985</v>
      </c>
      <c r="E635" s="203" t="s">
        <v>985</v>
      </c>
      <c r="F635" s="205" t="s">
        <v>985</v>
      </c>
      <c r="G635" s="207"/>
      <c r="H635" s="197" t="s">
        <v>230</v>
      </c>
      <c r="I635" s="198"/>
    </row>
    <row r="636" spans="1:9" x14ac:dyDescent="0.25">
      <c r="A636" s="236" t="s">
        <v>720</v>
      </c>
      <c r="B636" s="234" t="s">
        <v>62</v>
      </c>
      <c r="C636" s="237" t="s">
        <v>62</v>
      </c>
      <c r="D636" s="203" t="s">
        <v>985</v>
      </c>
      <c r="E636" s="203" t="s">
        <v>985</v>
      </c>
      <c r="F636" s="205" t="s">
        <v>985</v>
      </c>
      <c r="G636" s="207"/>
      <c r="H636" s="197" t="s">
        <v>29</v>
      </c>
      <c r="I636" s="198"/>
    </row>
    <row r="637" spans="1:9" x14ac:dyDescent="0.25">
      <c r="A637" s="199" t="s">
        <v>721</v>
      </c>
      <c r="B637" s="269" t="s">
        <v>89</v>
      </c>
      <c r="C637" s="262" t="s">
        <v>51</v>
      </c>
      <c r="D637" s="280" t="s">
        <v>52</v>
      </c>
      <c r="E637" s="280" t="s">
        <v>52</v>
      </c>
      <c r="F637" s="281" t="s">
        <v>52</v>
      </c>
      <c r="G637" s="207"/>
      <c r="H637" s="197" t="s">
        <v>75</v>
      </c>
      <c r="I637" s="198"/>
    </row>
    <row r="638" spans="1:9" x14ac:dyDescent="0.25">
      <c r="A638" s="236" t="s">
        <v>722</v>
      </c>
      <c r="B638" s="234" t="s">
        <v>62</v>
      </c>
      <c r="C638" s="237" t="s">
        <v>62</v>
      </c>
      <c r="D638" s="203" t="s">
        <v>985</v>
      </c>
      <c r="E638" s="203" t="s">
        <v>985</v>
      </c>
      <c r="F638" s="205" t="s">
        <v>985</v>
      </c>
      <c r="G638" s="207"/>
      <c r="H638" s="197" t="s">
        <v>29</v>
      </c>
      <c r="I638" s="198"/>
    </row>
    <row r="639" spans="1:9" x14ac:dyDescent="0.25">
      <c r="A639" s="199" t="s">
        <v>723</v>
      </c>
      <c r="B639" s="269" t="s">
        <v>57</v>
      </c>
      <c r="C639" s="257"/>
      <c r="D639" s="203" t="s">
        <v>985</v>
      </c>
      <c r="E639" s="203" t="s">
        <v>985</v>
      </c>
      <c r="F639" s="257" t="s">
        <v>987</v>
      </c>
      <c r="G639" s="207"/>
      <c r="H639" s="197" t="s">
        <v>83</v>
      </c>
      <c r="I639" s="198"/>
    </row>
    <row r="640" spans="1:9" x14ac:dyDescent="0.25">
      <c r="A640" s="236" t="s">
        <v>724</v>
      </c>
      <c r="B640" s="265" t="s">
        <v>105</v>
      </c>
      <c r="C640" s="266" t="s">
        <v>105</v>
      </c>
      <c r="D640" s="203" t="s">
        <v>985</v>
      </c>
      <c r="E640" s="203" t="s">
        <v>985</v>
      </c>
      <c r="F640" s="203" t="s">
        <v>985</v>
      </c>
      <c r="G640" s="207"/>
      <c r="H640" s="197" t="s">
        <v>34</v>
      </c>
      <c r="I640" s="198"/>
    </row>
    <row r="641" spans="1:9" x14ac:dyDescent="0.25">
      <c r="A641" s="199" t="s">
        <v>725</v>
      </c>
      <c r="B641" s="255" t="s">
        <v>51</v>
      </c>
      <c r="C641" s="262" t="s">
        <v>51</v>
      </c>
      <c r="D641" s="203" t="s">
        <v>985</v>
      </c>
      <c r="E641" s="203" t="s">
        <v>985</v>
      </c>
      <c r="F641" s="205" t="s">
        <v>985</v>
      </c>
      <c r="G641" s="207"/>
      <c r="H641" s="197" t="s">
        <v>30</v>
      </c>
      <c r="I641" s="198"/>
    </row>
    <row r="642" spans="1:9" x14ac:dyDescent="0.25">
      <c r="A642" s="236" t="s">
        <v>726</v>
      </c>
      <c r="B642" s="234" t="s">
        <v>62</v>
      </c>
      <c r="C642" s="237" t="s">
        <v>62</v>
      </c>
      <c r="D642" s="203" t="s">
        <v>985</v>
      </c>
      <c r="E642" s="203" t="s">
        <v>985</v>
      </c>
      <c r="F642" s="205" t="s">
        <v>985</v>
      </c>
      <c r="G642" s="207"/>
      <c r="H642" s="197" t="s">
        <v>29</v>
      </c>
      <c r="I642" s="198"/>
    </row>
    <row r="643" spans="1:9" x14ac:dyDescent="0.25">
      <c r="A643" s="199" t="s">
        <v>727</v>
      </c>
      <c r="B643" s="269" t="s">
        <v>986</v>
      </c>
      <c r="C643" s="257"/>
      <c r="D643" s="280" t="s">
        <v>52</v>
      </c>
      <c r="E643" s="280" t="s">
        <v>52</v>
      </c>
      <c r="F643" s="281" t="s">
        <v>52</v>
      </c>
      <c r="G643" s="207"/>
      <c r="H643" s="197" t="s">
        <v>64</v>
      </c>
      <c r="I643" s="198"/>
    </row>
    <row r="644" spans="1:9" x14ac:dyDescent="0.25">
      <c r="A644" s="216" t="s">
        <v>728</v>
      </c>
      <c r="B644" s="298" t="s">
        <v>729</v>
      </c>
      <c r="C644" s="284" t="s">
        <v>286</v>
      </c>
      <c r="D644" s="203" t="s">
        <v>985</v>
      </c>
      <c r="E644" s="203" t="s">
        <v>985</v>
      </c>
      <c r="F644" s="205" t="s">
        <v>985</v>
      </c>
      <c r="G644" s="207"/>
      <c r="H644" s="197" t="s">
        <v>78</v>
      </c>
      <c r="I644" s="198"/>
    </row>
    <row r="645" spans="1:9" x14ac:dyDescent="0.25">
      <c r="A645" s="216" t="s">
        <v>730</v>
      </c>
      <c r="B645" s="269" t="s">
        <v>57</v>
      </c>
      <c r="C645" s="257"/>
      <c r="D645" s="203" t="s">
        <v>985</v>
      </c>
      <c r="E645" s="203" t="s">
        <v>174</v>
      </c>
      <c r="F645" s="257" t="s">
        <v>987</v>
      </c>
      <c r="G645" s="207"/>
      <c r="H645" s="197" t="s">
        <v>83</v>
      </c>
      <c r="I645" s="198"/>
    </row>
    <row r="646" spans="1:9" x14ac:dyDescent="0.25">
      <c r="A646" s="236" t="s">
        <v>731</v>
      </c>
      <c r="B646" s="234" t="s">
        <v>62</v>
      </c>
      <c r="C646" s="237" t="s">
        <v>62</v>
      </c>
      <c r="D646" s="203" t="s">
        <v>985</v>
      </c>
      <c r="E646" s="203" t="s">
        <v>985</v>
      </c>
      <c r="F646" s="205" t="s">
        <v>985</v>
      </c>
      <c r="G646" s="207"/>
      <c r="H646" s="197" t="s">
        <v>29</v>
      </c>
      <c r="I646" s="198"/>
    </row>
    <row r="647" spans="1:9" x14ac:dyDescent="0.25">
      <c r="A647" s="216" t="s">
        <v>732</v>
      </c>
      <c r="B647" s="255" t="s">
        <v>51</v>
      </c>
      <c r="C647" s="262" t="s">
        <v>51</v>
      </c>
      <c r="D647" s="203" t="s">
        <v>985</v>
      </c>
      <c r="E647" s="203" t="s">
        <v>985</v>
      </c>
      <c r="F647" s="205" t="s">
        <v>985</v>
      </c>
      <c r="G647" s="207"/>
      <c r="H647" s="197" t="s">
        <v>27</v>
      </c>
      <c r="I647" s="198"/>
    </row>
    <row r="648" spans="1:9" x14ac:dyDescent="0.25">
      <c r="A648" s="236" t="s">
        <v>733</v>
      </c>
      <c r="B648" s="234" t="s">
        <v>62</v>
      </c>
      <c r="C648" s="282" t="s">
        <v>62</v>
      </c>
      <c r="D648" s="203" t="s">
        <v>985</v>
      </c>
      <c r="E648" s="203" t="s">
        <v>985</v>
      </c>
      <c r="F648" s="205" t="s">
        <v>985</v>
      </c>
      <c r="G648" s="207"/>
      <c r="H648" s="197" t="s">
        <v>38</v>
      </c>
      <c r="I648" s="198"/>
    </row>
    <row r="649" spans="1:9" x14ac:dyDescent="0.25">
      <c r="A649" s="236" t="s">
        <v>734</v>
      </c>
      <c r="B649" s="265" t="s">
        <v>62</v>
      </c>
      <c r="C649" s="266" t="s">
        <v>62</v>
      </c>
      <c r="D649" s="203" t="s">
        <v>985</v>
      </c>
      <c r="E649" s="203" t="s">
        <v>985</v>
      </c>
      <c r="F649" s="205" t="s">
        <v>985</v>
      </c>
      <c r="G649" s="207"/>
      <c r="H649" s="197" t="s">
        <v>30</v>
      </c>
      <c r="I649" s="198"/>
    </row>
    <row r="650" spans="1:9" x14ac:dyDescent="0.25">
      <c r="A650" s="287" t="s">
        <v>1049</v>
      </c>
      <c r="B650" s="255" t="s">
        <v>51</v>
      </c>
      <c r="C650" s="262" t="s">
        <v>983</v>
      </c>
      <c r="D650" s="203" t="s">
        <v>985</v>
      </c>
      <c r="E650" s="203" t="s">
        <v>985</v>
      </c>
      <c r="F650" s="205" t="s">
        <v>985</v>
      </c>
      <c r="G650" s="207"/>
      <c r="H650" s="197" t="s">
        <v>121</v>
      </c>
      <c r="I650" s="198"/>
    </row>
    <row r="651" spans="1:9" x14ac:dyDescent="0.25">
      <c r="A651" s="236" t="s">
        <v>736</v>
      </c>
      <c r="B651" s="234" t="s">
        <v>62</v>
      </c>
      <c r="C651" s="237" t="s">
        <v>62</v>
      </c>
      <c r="D651" s="203" t="s">
        <v>985</v>
      </c>
      <c r="E651" s="203" t="s">
        <v>985</v>
      </c>
      <c r="F651" s="205" t="s">
        <v>985</v>
      </c>
      <c r="G651" s="207"/>
      <c r="H651" s="197" t="s">
        <v>29</v>
      </c>
      <c r="I651" s="198"/>
    </row>
    <row r="652" spans="1:9" x14ac:dyDescent="0.25">
      <c r="A652" s="199" t="s">
        <v>737</v>
      </c>
      <c r="B652" s="269"/>
      <c r="C652" s="262" t="s">
        <v>983</v>
      </c>
      <c r="D652" s="203" t="s">
        <v>985</v>
      </c>
      <c r="E652" s="203" t="s">
        <v>985</v>
      </c>
      <c r="F652" s="205" t="s">
        <v>985</v>
      </c>
      <c r="G652" s="207"/>
      <c r="H652" s="197" t="s">
        <v>168</v>
      </c>
      <c r="I652" s="198"/>
    </row>
    <row r="653" spans="1:9" x14ac:dyDescent="0.25">
      <c r="A653" s="287" t="s">
        <v>1050</v>
      </c>
      <c r="B653" s="207"/>
      <c r="C653" s="262" t="s">
        <v>983</v>
      </c>
      <c r="D653" s="197"/>
      <c r="E653" s="197"/>
      <c r="F653" s="205" t="s">
        <v>985</v>
      </c>
      <c r="G653" s="207"/>
      <c r="H653" s="197" t="s">
        <v>78</v>
      </c>
      <c r="I653" s="198"/>
    </row>
    <row r="654" spans="1:9" x14ac:dyDescent="0.25">
      <c r="A654" s="236" t="s">
        <v>738</v>
      </c>
      <c r="B654" s="234" t="s">
        <v>62</v>
      </c>
      <c r="C654" s="237" t="s">
        <v>62</v>
      </c>
      <c r="D654" s="203" t="s">
        <v>985</v>
      </c>
      <c r="E654" s="203" t="s">
        <v>985</v>
      </c>
      <c r="F654" s="205" t="s">
        <v>985</v>
      </c>
      <c r="G654" s="207"/>
      <c r="H654" s="197" t="s">
        <v>29</v>
      </c>
      <c r="I654" s="198"/>
    </row>
    <row r="655" spans="1:9" x14ac:dyDescent="0.25">
      <c r="A655" s="236" t="s">
        <v>739</v>
      </c>
      <c r="B655" s="234" t="s">
        <v>62</v>
      </c>
      <c r="C655" s="237" t="s">
        <v>62</v>
      </c>
      <c r="D655" s="203" t="s">
        <v>985</v>
      </c>
      <c r="E655" s="203" t="s">
        <v>985</v>
      </c>
      <c r="F655" s="205" t="s">
        <v>985</v>
      </c>
      <c r="G655" s="207"/>
      <c r="H655" s="197" t="s">
        <v>27</v>
      </c>
      <c r="I655" s="198"/>
    </row>
    <row r="656" spans="1:9" x14ac:dyDescent="0.25">
      <c r="A656" s="236" t="s">
        <v>740</v>
      </c>
      <c r="B656" s="265" t="s">
        <v>62</v>
      </c>
      <c r="C656" s="266" t="s">
        <v>62</v>
      </c>
      <c r="D656" s="203" t="s">
        <v>985</v>
      </c>
      <c r="E656" s="203" t="s">
        <v>985</v>
      </c>
      <c r="F656" s="205" t="s">
        <v>985</v>
      </c>
      <c r="G656" s="207"/>
      <c r="H656" s="197" t="s">
        <v>31</v>
      </c>
      <c r="I656" s="198"/>
    </row>
    <row r="657" spans="1:9" x14ac:dyDescent="0.25">
      <c r="A657" s="236" t="s">
        <v>741</v>
      </c>
      <c r="B657" s="234" t="s">
        <v>62</v>
      </c>
      <c r="C657" s="237" t="s">
        <v>62</v>
      </c>
      <c r="D657" s="203" t="s">
        <v>985</v>
      </c>
      <c r="E657" s="203" t="s">
        <v>985</v>
      </c>
      <c r="F657" s="205" t="s">
        <v>985</v>
      </c>
      <c r="G657" s="207"/>
      <c r="H657" s="197" t="s">
        <v>29</v>
      </c>
      <c r="I657" s="198"/>
    </row>
    <row r="658" spans="1:9" x14ac:dyDescent="0.25">
      <c r="A658" s="199" t="s">
        <v>742</v>
      </c>
      <c r="B658" s="255" t="s">
        <v>51</v>
      </c>
      <c r="C658" s="262" t="s">
        <v>983</v>
      </c>
      <c r="D658" s="203" t="s">
        <v>985</v>
      </c>
      <c r="E658" s="203" t="s">
        <v>985</v>
      </c>
      <c r="F658" s="205" t="s">
        <v>985</v>
      </c>
      <c r="G658" s="207"/>
      <c r="H658" s="197" t="s">
        <v>92</v>
      </c>
      <c r="I658" s="198"/>
    </row>
    <row r="659" spans="1:9" x14ac:dyDescent="0.25">
      <c r="A659" s="236" t="s">
        <v>743</v>
      </c>
      <c r="B659" s="265" t="s">
        <v>62</v>
      </c>
      <c r="C659" s="266" t="s">
        <v>62</v>
      </c>
      <c r="D659" s="203" t="s">
        <v>985</v>
      </c>
      <c r="E659" s="203" t="s">
        <v>985</v>
      </c>
      <c r="F659" s="205" t="s">
        <v>985</v>
      </c>
      <c r="G659" s="207"/>
      <c r="H659" s="197" t="s">
        <v>32</v>
      </c>
      <c r="I659" s="198"/>
    </row>
    <row r="660" spans="1:9" x14ac:dyDescent="0.25">
      <c r="A660" s="236" t="s">
        <v>744</v>
      </c>
      <c r="B660" s="265" t="s">
        <v>62</v>
      </c>
      <c r="C660" s="266" t="s">
        <v>62</v>
      </c>
      <c r="D660" s="203" t="s">
        <v>985</v>
      </c>
      <c r="E660" s="203" t="s">
        <v>985</v>
      </c>
      <c r="F660" s="203" t="s">
        <v>985</v>
      </c>
      <c r="G660" s="207"/>
      <c r="H660" s="197" t="s">
        <v>36</v>
      </c>
      <c r="I660" s="198"/>
    </row>
    <row r="661" spans="1:9" x14ac:dyDescent="0.25">
      <c r="A661" s="199" t="s">
        <v>745</v>
      </c>
      <c r="B661" s="295" t="s">
        <v>746</v>
      </c>
      <c r="C661" s="257"/>
      <c r="D661" s="203" t="s">
        <v>985</v>
      </c>
      <c r="E661" s="203" t="s">
        <v>985</v>
      </c>
      <c r="F661" s="257" t="s">
        <v>987</v>
      </c>
      <c r="G661" s="207"/>
      <c r="H661" s="197" t="s">
        <v>92</v>
      </c>
      <c r="I661" s="198"/>
    </row>
    <row r="662" spans="1:9" x14ac:dyDescent="0.25">
      <c r="A662" s="287" t="s">
        <v>1051</v>
      </c>
      <c r="B662" s="207"/>
      <c r="C662" s="289" t="s">
        <v>746</v>
      </c>
      <c r="D662" s="197"/>
      <c r="E662" s="197"/>
      <c r="F662" s="205" t="s">
        <v>985</v>
      </c>
      <c r="G662" s="207"/>
      <c r="H662" s="197" t="s">
        <v>92</v>
      </c>
      <c r="I662" s="198"/>
    </row>
    <row r="663" spans="1:9" x14ac:dyDescent="0.25">
      <c r="A663" s="199" t="s">
        <v>747</v>
      </c>
      <c r="B663" s="269" t="s">
        <v>748</v>
      </c>
      <c r="C663" s="257"/>
      <c r="D663" s="280" t="s">
        <v>52</v>
      </c>
      <c r="E663" s="280" t="s">
        <v>52</v>
      </c>
      <c r="F663" s="281" t="s">
        <v>52</v>
      </c>
      <c r="G663" s="207"/>
      <c r="H663" s="197" t="s">
        <v>75</v>
      </c>
      <c r="I663" s="198"/>
    </row>
    <row r="664" spans="1:9" x14ac:dyDescent="0.25">
      <c r="A664" s="236" t="s">
        <v>749</v>
      </c>
      <c r="B664" s="265" t="s">
        <v>62</v>
      </c>
      <c r="C664" s="266" t="s">
        <v>62</v>
      </c>
      <c r="D664" s="203" t="s">
        <v>985</v>
      </c>
      <c r="E664" s="203" t="s">
        <v>985</v>
      </c>
      <c r="F664" s="205" t="s">
        <v>985</v>
      </c>
      <c r="G664" s="207"/>
      <c r="H664" s="197" t="s">
        <v>31</v>
      </c>
      <c r="I664" s="198"/>
    </row>
    <row r="665" spans="1:9" x14ac:dyDescent="0.25">
      <c r="A665" s="236" t="s">
        <v>750</v>
      </c>
      <c r="B665" s="265" t="s">
        <v>62</v>
      </c>
      <c r="C665" s="266" t="s">
        <v>62</v>
      </c>
      <c r="D665" s="203" t="s">
        <v>985</v>
      </c>
      <c r="E665" s="203" t="s">
        <v>985</v>
      </c>
      <c r="F665" s="205" t="s">
        <v>985</v>
      </c>
      <c r="G665" s="207"/>
      <c r="H665" s="197" t="s">
        <v>32</v>
      </c>
      <c r="I665" s="198"/>
    </row>
    <row r="666" spans="1:9" x14ac:dyDescent="0.25">
      <c r="A666" s="199" t="s">
        <v>751</v>
      </c>
      <c r="B666" s="255" t="s">
        <v>51</v>
      </c>
      <c r="C666" s="289" t="s">
        <v>983</v>
      </c>
      <c r="D666" s="260" t="s">
        <v>984</v>
      </c>
      <c r="E666" s="203" t="s">
        <v>985</v>
      </c>
      <c r="F666" s="205" t="s">
        <v>985</v>
      </c>
      <c r="G666" s="207"/>
      <c r="H666" s="197" t="s">
        <v>226</v>
      </c>
      <c r="I666" s="198"/>
    </row>
    <row r="667" spans="1:9" x14ac:dyDescent="0.25">
      <c r="A667" s="236" t="s">
        <v>752</v>
      </c>
      <c r="B667" s="265" t="s">
        <v>105</v>
      </c>
      <c r="C667" s="266" t="s">
        <v>105</v>
      </c>
      <c r="D667" s="203" t="s">
        <v>985</v>
      </c>
      <c r="E667" s="203" t="s">
        <v>985</v>
      </c>
      <c r="F667" s="205" t="s">
        <v>985</v>
      </c>
      <c r="G667" s="207"/>
      <c r="H667" s="197" t="s">
        <v>34</v>
      </c>
      <c r="I667" s="198"/>
    </row>
    <row r="668" spans="1:9" x14ac:dyDescent="0.25">
      <c r="A668" s="275" t="s">
        <v>753</v>
      </c>
      <c r="B668" s="254"/>
      <c r="C668" s="253"/>
      <c r="D668" s="203" t="s">
        <v>985</v>
      </c>
      <c r="E668" s="203" t="s">
        <v>985</v>
      </c>
      <c r="F668" s="257" t="s">
        <v>987</v>
      </c>
      <c r="G668" s="197"/>
      <c r="H668" s="197" t="s">
        <v>36</v>
      </c>
      <c r="I668" s="198"/>
    </row>
    <row r="669" spans="1:9" x14ac:dyDescent="0.25">
      <c r="A669" s="236" t="s">
        <v>754</v>
      </c>
      <c r="B669" s="234" t="s">
        <v>105</v>
      </c>
      <c r="C669" s="237" t="s">
        <v>105</v>
      </c>
      <c r="D669" s="203" t="s">
        <v>985</v>
      </c>
      <c r="E669" s="203" t="s">
        <v>985</v>
      </c>
      <c r="F669" s="205" t="s">
        <v>985</v>
      </c>
      <c r="G669" s="207"/>
      <c r="H669" s="197" t="s">
        <v>134</v>
      </c>
      <c r="I669" s="198"/>
    </row>
    <row r="670" spans="1:9" x14ac:dyDescent="0.25">
      <c r="A670" s="236" t="s">
        <v>755</v>
      </c>
      <c r="B670" s="265" t="s">
        <v>62</v>
      </c>
      <c r="C670" s="266" t="s">
        <v>62</v>
      </c>
      <c r="D670" s="203" t="s">
        <v>985</v>
      </c>
      <c r="E670" s="203" t="s">
        <v>985</v>
      </c>
      <c r="F670" s="205" t="s">
        <v>985</v>
      </c>
      <c r="G670" s="207"/>
      <c r="H670" s="197" t="s">
        <v>32</v>
      </c>
      <c r="I670" s="198"/>
    </row>
    <row r="671" spans="1:9" x14ac:dyDescent="0.25">
      <c r="A671" s="208" t="s">
        <v>756</v>
      </c>
      <c r="B671" s="295" t="s">
        <v>286</v>
      </c>
      <c r="C671" s="289" t="s">
        <v>286</v>
      </c>
      <c r="D671" s="203" t="s">
        <v>985</v>
      </c>
      <c r="E671" s="203" t="s">
        <v>985</v>
      </c>
      <c r="F671" s="205" t="s">
        <v>985</v>
      </c>
      <c r="G671" s="207" t="s">
        <v>985</v>
      </c>
      <c r="H671" s="197" t="s">
        <v>136</v>
      </c>
      <c r="I671" s="198"/>
    </row>
    <row r="672" spans="1:9" x14ac:dyDescent="0.25">
      <c r="A672" s="216" t="s">
        <v>757</v>
      </c>
      <c r="B672" s="294" t="s">
        <v>57</v>
      </c>
      <c r="C672" s="257"/>
      <c r="D672" s="203" t="s">
        <v>985</v>
      </c>
      <c r="E672" s="203" t="s">
        <v>985</v>
      </c>
      <c r="F672" s="257" t="s">
        <v>987</v>
      </c>
      <c r="G672" s="207"/>
      <c r="H672" s="197" t="s">
        <v>78</v>
      </c>
      <c r="I672" s="198"/>
    </row>
    <row r="673" spans="1:9" x14ac:dyDescent="0.25">
      <c r="A673" s="286" t="s">
        <v>1052</v>
      </c>
      <c r="B673" s="207"/>
      <c r="C673" s="263" t="s">
        <v>983</v>
      </c>
      <c r="D673" s="197"/>
      <c r="E673" s="197"/>
      <c r="F673" s="205" t="s">
        <v>985</v>
      </c>
      <c r="G673" s="207"/>
      <c r="H673" s="197" t="s">
        <v>78</v>
      </c>
      <c r="I673" s="198"/>
    </row>
    <row r="674" spans="1:9" x14ac:dyDescent="0.25">
      <c r="A674" s="216" t="s">
        <v>758</v>
      </c>
      <c r="B674" s="251" t="s">
        <v>51</v>
      </c>
      <c r="C674" s="211" t="s">
        <v>51</v>
      </c>
      <c r="D674" s="203" t="s">
        <v>985</v>
      </c>
      <c r="E674" s="203" t="s">
        <v>985</v>
      </c>
      <c r="F674" s="205" t="s">
        <v>985</v>
      </c>
      <c r="G674" s="207"/>
      <c r="H674" s="197" t="s">
        <v>134</v>
      </c>
      <c r="I674" s="198"/>
    </row>
    <row r="675" spans="1:9" x14ac:dyDescent="0.25">
      <c r="A675" s="236" t="s">
        <v>759</v>
      </c>
      <c r="B675" s="265" t="s">
        <v>62</v>
      </c>
      <c r="C675" s="266" t="s">
        <v>62</v>
      </c>
      <c r="D675" s="203" t="s">
        <v>985</v>
      </c>
      <c r="E675" s="203" t="s">
        <v>985</v>
      </c>
      <c r="F675" s="205" t="s">
        <v>985</v>
      </c>
      <c r="G675" s="207"/>
      <c r="H675" s="197" t="s">
        <v>34</v>
      </c>
      <c r="I675" s="198"/>
    </row>
    <row r="676" spans="1:9" x14ac:dyDescent="0.25">
      <c r="A676" s="246" t="s">
        <v>760</v>
      </c>
      <c r="B676" s="234" t="s">
        <v>105</v>
      </c>
      <c r="C676" s="237" t="s">
        <v>105</v>
      </c>
      <c r="D676" s="203" t="s">
        <v>985</v>
      </c>
      <c r="E676" s="203" t="s">
        <v>985</v>
      </c>
      <c r="F676" s="205" t="s">
        <v>985</v>
      </c>
      <c r="G676" s="207"/>
      <c r="H676" s="197" t="s">
        <v>134</v>
      </c>
      <c r="I676" s="198"/>
    </row>
    <row r="677" spans="1:9" x14ac:dyDescent="0.25">
      <c r="A677" s="199" t="s">
        <v>761</v>
      </c>
      <c r="B677" s="269" t="s">
        <v>57</v>
      </c>
      <c r="C677" s="257"/>
      <c r="D677" s="203" t="s">
        <v>985</v>
      </c>
      <c r="E677" s="203" t="s">
        <v>985</v>
      </c>
      <c r="F677" s="257" t="s">
        <v>987</v>
      </c>
      <c r="G677" s="207"/>
      <c r="H677" s="197" t="s">
        <v>78</v>
      </c>
      <c r="I677" s="198"/>
    </row>
    <row r="678" spans="1:9" x14ac:dyDescent="0.25">
      <c r="A678" s="288" t="s">
        <v>1053</v>
      </c>
      <c r="B678" s="207"/>
      <c r="C678" s="262" t="s">
        <v>983</v>
      </c>
      <c r="D678" s="197"/>
      <c r="E678" s="197"/>
      <c r="F678" s="205" t="s">
        <v>985</v>
      </c>
      <c r="G678" s="207"/>
      <c r="H678" s="197" t="s">
        <v>78</v>
      </c>
      <c r="I678" s="198"/>
    </row>
    <row r="679" spans="1:9" x14ac:dyDescent="0.25">
      <c r="A679" s="236" t="s">
        <v>762</v>
      </c>
      <c r="B679" s="234" t="s">
        <v>62</v>
      </c>
      <c r="C679" s="237" t="s">
        <v>62</v>
      </c>
      <c r="D679" s="203" t="s">
        <v>985</v>
      </c>
      <c r="E679" s="203" t="s">
        <v>985</v>
      </c>
      <c r="F679" s="205" t="s">
        <v>985</v>
      </c>
      <c r="G679" s="207"/>
      <c r="H679" s="197" t="s">
        <v>29</v>
      </c>
      <c r="I679" s="198"/>
    </row>
    <row r="680" spans="1:9" x14ac:dyDescent="0.25">
      <c r="A680" s="236" t="s">
        <v>763</v>
      </c>
      <c r="B680" s="265" t="s">
        <v>105</v>
      </c>
      <c r="C680" s="266" t="s">
        <v>105</v>
      </c>
      <c r="D680" s="203" t="s">
        <v>985</v>
      </c>
      <c r="E680" s="203" t="s">
        <v>985</v>
      </c>
      <c r="F680" s="203" t="s">
        <v>985</v>
      </c>
      <c r="G680" s="207"/>
      <c r="H680" s="197" t="s">
        <v>34</v>
      </c>
      <c r="I680" s="198"/>
    </row>
    <row r="681" spans="1:9" x14ac:dyDescent="0.25">
      <c r="A681" s="283" t="s">
        <v>1054</v>
      </c>
      <c r="B681" s="207"/>
      <c r="C681" s="263" t="s">
        <v>983</v>
      </c>
      <c r="D681" s="197"/>
      <c r="E681" s="197"/>
      <c r="F681" s="205" t="s">
        <v>985</v>
      </c>
      <c r="G681" s="207"/>
      <c r="H681" s="197" t="s">
        <v>168</v>
      </c>
      <c r="I681" s="198"/>
    </row>
    <row r="682" spans="1:9" x14ac:dyDescent="0.25">
      <c r="A682" s="199" t="s">
        <v>764</v>
      </c>
      <c r="B682" s="261" t="s">
        <v>51</v>
      </c>
      <c r="C682" s="257"/>
      <c r="D682" s="260" t="s">
        <v>984</v>
      </c>
      <c r="E682" s="203" t="s">
        <v>985</v>
      </c>
      <c r="F682" s="197" t="s">
        <v>987</v>
      </c>
      <c r="G682" s="207"/>
      <c r="H682" s="197" t="s">
        <v>168</v>
      </c>
      <c r="I682" s="198"/>
    </row>
    <row r="683" spans="1:9" x14ac:dyDescent="0.25">
      <c r="A683" s="199" t="s">
        <v>765</v>
      </c>
      <c r="B683" s="255" t="s">
        <v>51</v>
      </c>
      <c r="C683" s="257"/>
      <c r="D683" s="280" t="s">
        <v>52</v>
      </c>
      <c r="E683" s="280" t="s">
        <v>52</v>
      </c>
      <c r="F683" s="281" t="s">
        <v>52</v>
      </c>
      <c r="G683" s="207"/>
      <c r="H683" s="197" t="s">
        <v>53</v>
      </c>
      <c r="I683" s="198"/>
    </row>
    <row r="684" spans="1:9" x14ac:dyDescent="0.25">
      <c r="A684" s="283" t="s">
        <v>1055</v>
      </c>
      <c r="B684" s="207"/>
      <c r="C684" s="263" t="s">
        <v>983</v>
      </c>
      <c r="D684" s="197"/>
      <c r="E684" s="197"/>
      <c r="F684" s="281" t="s">
        <v>52</v>
      </c>
      <c r="G684" s="207"/>
      <c r="H684" s="197" t="s">
        <v>53</v>
      </c>
      <c r="I684" s="198"/>
    </row>
    <row r="685" spans="1:9" x14ac:dyDescent="0.25">
      <c r="A685" s="199" t="s">
        <v>766</v>
      </c>
      <c r="B685" s="255" t="s">
        <v>51</v>
      </c>
      <c r="C685" s="262" t="s">
        <v>51</v>
      </c>
      <c r="D685" s="280" t="s">
        <v>52</v>
      </c>
      <c r="E685" s="280" t="s">
        <v>52</v>
      </c>
      <c r="F685" s="281" t="s">
        <v>52</v>
      </c>
      <c r="G685" s="207"/>
      <c r="H685" s="197" t="s">
        <v>75</v>
      </c>
      <c r="I685" s="198"/>
    </row>
    <row r="686" spans="1:9" x14ac:dyDescent="0.25">
      <c r="A686" s="199" t="s">
        <v>767</v>
      </c>
      <c r="B686" s="251" t="s">
        <v>51</v>
      </c>
      <c r="C686" s="263" t="s">
        <v>983</v>
      </c>
      <c r="D686" s="203" t="s">
        <v>985</v>
      </c>
      <c r="E686" s="203" t="s">
        <v>985</v>
      </c>
      <c r="F686" s="205" t="s">
        <v>985</v>
      </c>
      <c r="G686" s="207"/>
      <c r="H686" s="197" t="s">
        <v>125</v>
      </c>
      <c r="I686" s="198"/>
    </row>
    <row r="687" spans="1:9" x14ac:dyDescent="0.25">
      <c r="A687" s="236" t="s">
        <v>768</v>
      </c>
      <c r="B687" s="234" t="s">
        <v>105</v>
      </c>
      <c r="C687" s="257"/>
      <c r="D687" s="203" t="s">
        <v>985</v>
      </c>
      <c r="E687" s="203" t="s">
        <v>985</v>
      </c>
      <c r="F687" s="257" t="s">
        <v>987</v>
      </c>
      <c r="G687" s="207"/>
      <c r="H687" s="197" t="s">
        <v>769</v>
      </c>
      <c r="I687" s="198"/>
    </row>
    <row r="688" spans="1:9" x14ac:dyDescent="0.25">
      <c r="A688" s="236" t="s">
        <v>770</v>
      </c>
      <c r="B688" s="265" t="s">
        <v>62</v>
      </c>
      <c r="C688" s="266" t="s">
        <v>62</v>
      </c>
      <c r="D688" s="203" t="s">
        <v>985</v>
      </c>
      <c r="E688" s="203" t="s">
        <v>985</v>
      </c>
      <c r="F688" s="205" t="s">
        <v>985</v>
      </c>
      <c r="G688" s="207"/>
      <c r="H688" s="197" t="s">
        <v>32</v>
      </c>
      <c r="I688" s="198"/>
    </row>
    <row r="689" spans="1:9" x14ac:dyDescent="0.25">
      <c r="A689" s="199" t="s">
        <v>771</v>
      </c>
      <c r="B689" s="255" t="s">
        <v>51</v>
      </c>
      <c r="C689" s="262" t="s">
        <v>983</v>
      </c>
      <c r="D689" s="203" t="s">
        <v>985</v>
      </c>
      <c r="E689" s="203" t="s">
        <v>985</v>
      </c>
      <c r="F689" s="205" t="s">
        <v>985</v>
      </c>
      <c r="G689" s="207"/>
      <c r="H689" s="197" t="s">
        <v>123</v>
      </c>
      <c r="I689" s="198"/>
    </row>
    <row r="690" spans="1:9" x14ac:dyDescent="0.25">
      <c r="A690" s="236" t="s">
        <v>772</v>
      </c>
      <c r="B690" s="265" t="s">
        <v>62</v>
      </c>
      <c r="C690" s="266" t="s">
        <v>62</v>
      </c>
      <c r="D690" s="203" t="s">
        <v>985</v>
      </c>
      <c r="E690" s="203" t="s">
        <v>985</v>
      </c>
      <c r="F690" s="205" t="s">
        <v>985</v>
      </c>
      <c r="G690" s="207"/>
      <c r="H690" s="197" t="s">
        <v>32</v>
      </c>
      <c r="I690" s="198"/>
    </row>
    <row r="691" spans="1:9" x14ac:dyDescent="0.25">
      <c r="A691" s="216" t="s">
        <v>773</v>
      </c>
      <c r="B691" s="255" t="s">
        <v>51</v>
      </c>
      <c r="C691" s="262" t="s">
        <v>51</v>
      </c>
      <c r="D691" s="203" t="s">
        <v>985</v>
      </c>
      <c r="E691" s="203" t="s">
        <v>985</v>
      </c>
      <c r="F691" s="205" t="s">
        <v>985</v>
      </c>
      <c r="G691" s="207"/>
      <c r="H691" s="197" t="s">
        <v>769</v>
      </c>
      <c r="I691" s="198"/>
    </row>
    <row r="692" spans="1:9" x14ac:dyDescent="0.25">
      <c r="A692" s="236" t="s">
        <v>774</v>
      </c>
      <c r="B692" s="265" t="s">
        <v>105</v>
      </c>
      <c r="C692" s="266" t="s">
        <v>105</v>
      </c>
      <c r="D692" s="203" t="s">
        <v>985</v>
      </c>
      <c r="E692" s="203" t="s">
        <v>985</v>
      </c>
      <c r="F692" s="205" t="s">
        <v>985</v>
      </c>
      <c r="G692" s="207"/>
      <c r="H692" s="197" t="s">
        <v>34</v>
      </c>
      <c r="I692" s="198"/>
    </row>
    <row r="693" spans="1:9" x14ac:dyDescent="0.25">
      <c r="A693" s="236" t="s">
        <v>775</v>
      </c>
      <c r="B693" s="265" t="s">
        <v>105</v>
      </c>
      <c r="C693" s="266" t="s">
        <v>105</v>
      </c>
      <c r="D693" s="203" t="s">
        <v>985</v>
      </c>
      <c r="E693" s="203" t="s">
        <v>985</v>
      </c>
      <c r="F693" s="205" t="s">
        <v>985</v>
      </c>
      <c r="G693" s="207"/>
      <c r="H693" s="197" t="s">
        <v>34</v>
      </c>
      <c r="I693" s="198"/>
    </row>
    <row r="694" spans="1:9" x14ac:dyDescent="0.25">
      <c r="A694" s="236" t="s">
        <v>776</v>
      </c>
      <c r="B694" s="234" t="s">
        <v>62</v>
      </c>
      <c r="C694" s="237" t="s">
        <v>62</v>
      </c>
      <c r="D694" s="203" t="s">
        <v>985</v>
      </c>
      <c r="E694" s="203" t="s">
        <v>985</v>
      </c>
      <c r="F694" s="205" t="s">
        <v>985</v>
      </c>
      <c r="G694" s="207"/>
      <c r="H694" s="197" t="s">
        <v>37</v>
      </c>
      <c r="I694" s="198"/>
    </row>
    <row r="695" spans="1:9" x14ac:dyDescent="0.25">
      <c r="A695" s="216" t="s">
        <v>777</v>
      </c>
      <c r="B695" s="251" t="s">
        <v>51</v>
      </c>
      <c r="C695" s="257"/>
      <c r="D695" s="203" t="s">
        <v>985</v>
      </c>
      <c r="E695" s="203" t="s">
        <v>985</v>
      </c>
      <c r="F695" s="257" t="s">
        <v>987</v>
      </c>
      <c r="G695" s="207"/>
      <c r="H695" s="197" t="s">
        <v>35</v>
      </c>
      <c r="I695" s="198"/>
    </row>
    <row r="696" spans="1:9" x14ac:dyDescent="0.25">
      <c r="A696" s="288" t="s">
        <v>1056</v>
      </c>
      <c r="B696" s="207"/>
      <c r="C696" s="263" t="s">
        <v>51</v>
      </c>
      <c r="D696" s="197"/>
      <c r="E696" s="197"/>
      <c r="F696" s="203" t="s">
        <v>985</v>
      </c>
      <c r="G696" s="207"/>
      <c r="H696" s="197" t="s">
        <v>35</v>
      </c>
      <c r="I696" s="198"/>
    </row>
    <row r="697" spans="1:9" x14ac:dyDescent="0.25">
      <c r="A697" s="199" t="s">
        <v>778</v>
      </c>
      <c r="B697" s="261" t="s">
        <v>51</v>
      </c>
      <c r="C697" s="262" t="s">
        <v>983</v>
      </c>
      <c r="D697" s="260" t="s">
        <v>984</v>
      </c>
      <c r="E697" s="203" t="s">
        <v>985</v>
      </c>
      <c r="F697" s="205" t="s">
        <v>985</v>
      </c>
      <c r="G697" s="207"/>
      <c r="H697" s="197" t="s">
        <v>168</v>
      </c>
      <c r="I697" s="198"/>
    </row>
    <row r="698" spans="1:9" x14ac:dyDescent="0.25">
      <c r="A698" s="288" t="s">
        <v>1057</v>
      </c>
      <c r="B698" s="207"/>
      <c r="C698" s="262" t="s">
        <v>983</v>
      </c>
      <c r="D698" s="197"/>
      <c r="E698" s="197"/>
      <c r="F698" s="281" t="s">
        <v>52</v>
      </c>
      <c r="G698" s="207"/>
      <c r="H698" s="197" t="s">
        <v>53</v>
      </c>
      <c r="I698" s="198"/>
    </row>
    <row r="699" spans="1:9" x14ac:dyDescent="0.25">
      <c r="A699" s="199" t="s">
        <v>779</v>
      </c>
      <c r="B699" s="255" t="s">
        <v>51</v>
      </c>
      <c r="C699" s="257"/>
      <c r="D699" s="280" t="s">
        <v>52</v>
      </c>
      <c r="E699" s="280" t="s">
        <v>52</v>
      </c>
      <c r="F699" s="281" t="s">
        <v>52</v>
      </c>
      <c r="G699" s="207"/>
      <c r="H699" s="197" t="s">
        <v>53</v>
      </c>
      <c r="I699" s="198"/>
    </row>
    <row r="700" spans="1:9" x14ac:dyDescent="0.25">
      <c r="A700" s="236" t="s">
        <v>780</v>
      </c>
      <c r="B700" s="265" t="s">
        <v>62</v>
      </c>
      <c r="C700" s="266" t="s">
        <v>62</v>
      </c>
      <c r="D700" s="203" t="s">
        <v>985</v>
      </c>
      <c r="E700" s="203" t="s">
        <v>985</v>
      </c>
      <c r="F700" s="203" t="s">
        <v>985</v>
      </c>
      <c r="G700" s="207"/>
      <c r="H700" s="197" t="s">
        <v>36</v>
      </c>
      <c r="I700" s="198"/>
    </row>
    <row r="701" spans="1:9" x14ac:dyDescent="0.25">
      <c r="A701" s="199" t="s">
        <v>781</v>
      </c>
      <c r="B701" s="269" t="s">
        <v>57</v>
      </c>
      <c r="C701" s="263" t="s">
        <v>983</v>
      </c>
      <c r="D701" s="203" t="s">
        <v>985</v>
      </c>
      <c r="E701" s="203" t="s">
        <v>985</v>
      </c>
      <c r="F701" s="205" t="s">
        <v>985</v>
      </c>
      <c r="G701" s="207"/>
      <c r="H701" s="197" t="s">
        <v>136</v>
      </c>
      <c r="I701" s="198"/>
    </row>
    <row r="702" spans="1:9" x14ac:dyDescent="0.25">
      <c r="A702" s="199" t="s">
        <v>782</v>
      </c>
      <c r="B702" s="261" t="s">
        <v>51</v>
      </c>
      <c r="C702" s="262" t="s">
        <v>983</v>
      </c>
      <c r="D702" s="260" t="s">
        <v>984</v>
      </c>
      <c r="E702" s="203" t="s">
        <v>985</v>
      </c>
      <c r="F702" s="205" t="s">
        <v>985</v>
      </c>
      <c r="G702" s="207"/>
      <c r="H702" s="197" t="s">
        <v>168</v>
      </c>
      <c r="I702" s="198"/>
    </row>
    <row r="703" spans="1:9" x14ac:dyDescent="0.25">
      <c r="A703" s="199" t="s">
        <v>1058</v>
      </c>
      <c r="B703" s="255" t="s">
        <v>51</v>
      </c>
      <c r="C703" s="262" t="s">
        <v>983</v>
      </c>
      <c r="D703" s="280" t="s">
        <v>52</v>
      </c>
      <c r="E703" s="280" t="s">
        <v>52</v>
      </c>
      <c r="F703" s="280" t="s">
        <v>52</v>
      </c>
      <c r="G703" s="207"/>
      <c r="H703" s="197" t="s">
        <v>80</v>
      </c>
      <c r="I703" s="198"/>
    </row>
    <row r="704" spans="1:9" x14ac:dyDescent="0.25">
      <c r="A704" s="216" t="s">
        <v>783</v>
      </c>
      <c r="B704" s="293" t="s">
        <v>97</v>
      </c>
      <c r="C704" s="284" t="s">
        <v>1027</v>
      </c>
      <c r="D704" s="203" t="s">
        <v>985</v>
      </c>
      <c r="E704" s="203" t="s">
        <v>985</v>
      </c>
      <c r="F704" s="205" t="s">
        <v>985</v>
      </c>
      <c r="G704" s="207"/>
      <c r="H704" s="197" t="s">
        <v>78</v>
      </c>
      <c r="I704" s="198"/>
    </row>
    <row r="705" spans="1:9" x14ac:dyDescent="0.25">
      <c r="A705" s="288" t="s">
        <v>1059</v>
      </c>
      <c r="B705" s="269" t="s">
        <v>57</v>
      </c>
      <c r="C705" s="262" t="s">
        <v>983</v>
      </c>
      <c r="D705" s="203" t="s">
        <v>985</v>
      </c>
      <c r="E705" s="203" t="s">
        <v>985</v>
      </c>
      <c r="F705" s="205" t="s">
        <v>985</v>
      </c>
      <c r="G705" s="207"/>
      <c r="H705" s="197" t="s">
        <v>78</v>
      </c>
      <c r="I705" s="198"/>
    </row>
    <row r="706" spans="1:9" x14ac:dyDescent="0.25">
      <c r="A706" s="199" t="s">
        <v>785</v>
      </c>
      <c r="B706" s="255" t="s">
        <v>51</v>
      </c>
      <c r="C706" s="257"/>
      <c r="D706" s="280" t="s">
        <v>52</v>
      </c>
      <c r="E706" s="280" t="s">
        <v>52</v>
      </c>
      <c r="F706" s="281" t="s">
        <v>52</v>
      </c>
      <c r="G706" s="207"/>
      <c r="H706" s="197" t="s">
        <v>75</v>
      </c>
      <c r="I706" s="198"/>
    </row>
    <row r="707" spans="1:9" x14ac:dyDescent="0.25">
      <c r="A707" s="199" t="s">
        <v>786</v>
      </c>
      <c r="B707" s="261" t="s">
        <v>51</v>
      </c>
      <c r="C707" s="262" t="s">
        <v>983</v>
      </c>
      <c r="D707" s="260" t="s">
        <v>984</v>
      </c>
      <c r="E707" s="203" t="s">
        <v>985</v>
      </c>
      <c r="F707" s="205" t="s">
        <v>985</v>
      </c>
      <c r="G707" s="207"/>
      <c r="H707" s="197" t="s">
        <v>168</v>
      </c>
      <c r="I707" s="198"/>
    </row>
    <row r="708" spans="1:9" x14ac:dyDescent="0.25">
      <c r="A708" s="236" t="s">
        <v>787</v>
      </c>
      <c r="B708" s="234" t="s">
        <v>62</v>
      </c>
      <c r="C708" s="237" t="s">
        <v>62</v>
      </c>
      <c r="D708" s="203" t="s">
        <v>985</v>
      </c>
      <c r="E708" s="203" t="s">
        <v>985</v>
      </c>
      <c r="F708" s="205" t="s">
        <v>985</v>
      </c>
      <c r="G708" s="207"/>
      <c r="H708" s="197" t="s">
        <v>29</v>
      </c>
      <c r="I708" s="198"/>
    </row>
    <row r="709" spans="1:9" x14ac:dyDescent="0.25">
      <c r="A709" s="236" t="s">
        <v>788</v>
      </c>
      <c r="B709" s="234" t="s">
        <v>62</v>
      </c>
      <c r="C709" s="237" t="s">
        <v>62</v>
      </c>
      <c r="D709" s="203" t="s">
        <v>985</v>
      </c>
      <c r="E709" s="203" t="s">
        <v>985</v>
      </c>
      <c r="F709" s="205" t="s">
        <v>985</v>
      </c>
      <c r="G709" s="207"/>
      <c r="H709" s="197" t="s">
        <v>29</v>
      </c>
      <c r="I709" s="198"/>
    </row>
    <row r="710" spans="1:9" x14ac:dyDescent="0.25">
      <c r="A710" s="236" t="s">
        <v>789</v>
      </c>
      <c r="B710" s="234" t="s">
        <v>62</v>
      </c>
      <c r="C710" s="237" t="s">
        <v>62</v>
      </c>
      <c r="D710" s="203" t="s">
        <v>985</v>
      </c>
      <c r="E710" s="203" t="s">
        <v>985</v>
      </c>
      <c r="F710" s="205" t="s">
        <v>985</v>
      </c>
      <c r="G710" s="207"/>
      <c r="H710" s="197" t="s">
        <v>29</v>
      </c>
      <c r="I710" s="198"/>
    </row>
    <row r="711" spans="1:9" x14ac:dyDescent="0.25">
      <c r="A711" s="236" t="s">
        <v>790</v>
      </c>
      <c r="B711" s="234" t="s">
        <v>105</v>
      </c>
      <c r="C711" s="237" t="s">
        <v>105</v>
      </c>
      <c r="D711" s="203" t="s">
        <v>985</v>
      </c>
      <c r="E711" s="203" t="s">
        <v>985</v>
      </c>
      <c r="F711" s="205" t="s">
        <v>985</v>
      </c>
      <c r="G711" s="207"/>
      <c r="H711" s="197" t="s">
        <v>28</v>
      </c>
      <c r="I711" s="198"/>
    </row>
    <row r="712" spans="1:9" x14ac:dyDescent="0.25">
      <c r="A712" s="199" t="s">
        <v>791</v>
      </c>
      <c r="B712" s="261" t="s">
        <v>57</v>
      </c>
      <c r="C712" s="257"/>
      <c r="D712" s="260" t="s">
        <v>984</v>
      </c>
      <c r="E712" s="203" t="s">
        <v>985</v>
      </c>
      <c r="F712" s="257" t="s">
        <v>987</v>
      </c>
      <c r="G712" s="207"/>
      <c r="H712" s="197" t="s">
        <v>136</v>
      </c>
      <c r="I712" s="198"/>
    </row>
    <row r="713" spans="1:9" x14ac:dyDescent="0.25">
      <c r="A713" s="288" t="s">
        <v>1060</v>
      </c>
      <c r="B713" s="207"/>
      <c r="C713" s="262" t="s">
        <v>983</v>
      </c>
      <c r="D713" s="197"/>
      <c r="E713" s="197"/>
      <c r="F713" s="205" t="s">
        <v>985</v>
      </c>
      <c r="G713" s="207"/>
      <c r="H713" s="197" t="s">
        <v>136</v>
      </c>
      <c r="I713" s="198"/>
    </row>
    <row r="714" spans="1:9" x14ac:dyDescent="0.25">
      <c r="A714" s="236" t="s">
        <v>792</v>
      </c>
      <c r="B714" s="234" t="s">
        <v>62</v>
      </c>
      <c r="C714" s="237" t="s">
        <v>62</v>
      </c>
      <c r="D714" s="203" t="s">
        <v>985</v>
      </c>
      <c r="E714" s="203" t="s">
        <v>985</v>
      </c>
      <c r="F714" s="205" t="s">
        <v>985</v>
      </c>
      <c r="G714" s="207"/>
      <c r="H714" s="197" t="s">
        <v>29</v>
      </c>
      <c r="I714" s="198"/>
    </row>
    <row r="715" spans="1:9" x14ac:dyDescent="0.25">
      <c r="A715" s="236" t="s">
        <v>793</v>
      </c>
      <c r="B715" s="234" t="s">
        <v>62</v>
      </c>
      <c r="C715" s="237" t="s">
        <v>62</v>
      </c>
      <c r="D715" s="203" t="s">
        <v>985</v>
      </c>
      <c r="E715" s="203" t="s">
        <v>985</v>
      </c>
      <c r="F715" s="205" t="s">
        <v>985</v>
      </c>
      <c r="G715" s="207"/>
      <c r="H715" s="197" t="s">
        <v>29</v>
      </c>
      <c r="I715" s="198"/>
    </row>
    <row r="716" spans="1:9" x14ac:dyDescent="0.25">
      <c r="A716" s="199" t="s">
        <v>794</v>
      </c>
      <c r="B716" s="261" t="s">
        <v>51</v>
      </c>
      <c r="C716" s="257"/>
      <c r="D716" s="260" t="s">
        <v>984</v>
      </c>
      <c r="E716" s="203" t="s">
        <v>985</v>
      </c>
      <c r="F716" s="257" t="s">
        <v>987</v>
      </c>
      <c r="G716" s="207"/>
      <c r="H716" s="197" t="s">
        <v>34</v>
      </c>
      <c r="I716" s="198"/>
    </row>
    <row r="717" spans="1:9" x14ac:dyDescent="0.25">
      <c r="A717" s="288" t="s">
        <v>1061</v>
      </c>
      <c r="B717" s="207"/>
      <c r="C717" s="263" t="s">
        <v>51</v>
      </c>
      <c r="D717" s="197"/>
      <c r="E717" s="197"/>
      <c r="F717" s="205" t="s">
        <v>985</v>
      </c>
      <c r="G717" s="197"/>
      <c r="H717" s="197" t="s">
        <v>34</v>
      </c>
      <c r="I717" s="198"/>
    </row>
    <row r="718" spans="1:9" x14ac:dyDescent="0.25">
      <c r="A718" s="236" t="s">
        <v>795</v>
      </c>
      <c r="B718" s="234" t="s">
        <v>62</v>
      </c>
      <c r="C718" s="237" t="s">
        <v>62</v>
      </c>
      <c r="D718" s="203" t="s">
        <v>985</v>
      </c>
      <c r="E718" s="203" t="s">
        <v>985</v>
      </c>
      <c r="F718" s="205" t="s">
        <v>985</v>
      </c>
      <c r="G718" s="197"/>
      <c r="H718" s="197" t="s">
        <v>29</v>
      </c>
      <c r="I718" s="198"/>
    </row>
    <row r="719" spans="1:9" x14ac:dyDescent="0.25">
      <c r="A719" s="236" t="s">
        <v>796</v>
      </c>
      <c r="B719" s="265" t="s">
        <v>62</v>
      </c>
      <c r="C719" s="266" t="s">
        <v>62</v>
      </c>
      <c r="D719" s="203" t="s">
        <v>985</v>
      </c>
      <c r="E719" s="203" t="s">
        <v>985</v>
      </c>
      <c r="F719" s="205" t="s">
        <v>985</v>
      </c>
      <c r="G719" s="197"/>
      <c r="H719" s="197" t="s">
        <v>31</v>
      </c>
      <c r="I719" s="198"/>
    </row>
    <row r="720" spans="1:9" x14ac:dyDescent="0.25">
      <c r="A720" s="222" t="s">
        <v>797</v>
      </c>
      <c r="B720" s="301" t="s">
        <v>286</v>
      </c>
      <c r="C720" s="289" t="s">
        <v>286</v>
      </c>
      <c r="D720" s="203" t="s">
        <v>985</v>
      </c>
      <c r="E720" s="203" t="s">
        <v>985</v>
      </c>
      <c r="F720" s="205" t="s">
        <v>985</v>
      </c>
      <c r="G720" s="197" t="s">
        <v>985</v>
      </c>
      <c r="H720" s="197" t="s">
        <v>83</v>
      </c>
      <c r="I720" s="198"/>
    </row>
    <row r="721" spans="1:9" x14ac:dyDescent="0.25">
      <c r="A721" s="199" t="s">
        <v>798</v>
      </c>
      <c r="B721" s="295" t="s">
        <v>286</v>
      </c>
      <c r="C721" s="289" t="s">
        <v>286</v>
      </c>
      <c r="D721" s="203" t="s">
        <v>985</v>
      </c>
      <c r="E721" s="203" t="s">
        <v>985</v>
      </c>
      <c r="F721" s="205" t="s">
        <v>985</v>
      </c>
      <c r="G721" s="207" t="s">
        <v>985</v>
      </c>
      <c r="H721" s="197" t="s">
        <v>83</v>
      </c>
      <c r="I721" s="198"/>
    </row>
    <row r="722" spans="1:9" x14ac:dyDescent="0.25">
      <c r="A722" s="199" t="s">
        <v>799</v>
      </c>
      <c r="B722" s="295" t="s">
        <v>286</v>
      </c>
      <c r="C722" s="289" t="s">
        <v>286</v>
      </c>
      <c r="D722" s="203" t="s">
        <v>985</v>
      </c>
      <c r="E722" s="203" t="s">
        <v>985</v>
      </c>
      <c r="F722" s="205" t="s">
        <v>985</v>
      </c>
      <c r="G722" s="207" t="s">
        <v>985</v>
      </c>
      <c r="H722" s="197" t="s">
        <v>83</v>
      </c>
      <c r="I722" s="198"/>
    </row>
    <row r="723" spans="1:9" x14ac:dyDescent="0.25">
      <c r="A723" s="199" t="s">
        <v>800</v>
      </c>
      <c r="B723" s="295" t="s">
        <v>286</v>
      </c>
      <c r="C723" s="289" t="s">
        <v>286</v>
      </c>
      <c r="D723" s="203" t="s">
        <v>985</v>
      </c>
      <c r="E723" s="203" t="s">
        <v>985</v>
      </c>
      <c r="F723" s="205" t="s">
        <v>985</v>
      </c>
      <c r="G723" s="207" t="s">
        <v>985</v>
      </c>
      <c r="H723" s="197" t="s">
        <v>83</v>
      </c>
      <c r="I723" s="198"/>
    </row>
    <row r="724" spans="1:9" x14ac:dyDescent="0.25">
      <c r="A724" s="199" t="s">
        <v>801</v>
      </c>
      <c r="B724" s="259" t="s">
        <v>51</v>
      </c>
      <c r="C724" s="257"/>
      <c r="D724" s="203" t="s">
        <v>985</v>
      </c>
      <c r="E724" s="260" t="s">
        <v>52</v>
      </c>
      <c r="F724" s="257" t="s">
        <v>987</v>
      </c>
      <c r="G724" s="207"/>
      <c r="H724" s="197" t="s">
        <v>92</v>
      </c>
      <c r="I724" s="198"/>
    </row>
    <row r="725" spans="1:9" x14ac:dyDescent="0.25">
      <c r="A725" s="275" t="s">
        <v>1062</v>
      </c>
      <c r="B725" s="265" t="s">
        <v>62</v>
      </c>
      <c r="C725" s="266" t="s">
        <v>62</v>
      </c>
      <c r="D725" s="203" t="s">
        <v>985</v>
      </c>
      <c r="E725" s="203" t="s">
        <v>985</v>
      </c>
      <c r="F725" s="205" t="s">
        <v>985</v>
      </c>
      <c r="G725" s="207"/>
      <c r="H725" s="197" t="s">
        <v>33</v>
      </c>
      <c r="I725" s="198"/>
    </row>
    <row r="726" spans="1:9" x14ac:dyDescent="0.25">
      <c r="A726" s="236" t="s">
        <v>803</v>
      </c>
      <c r="B726" s="234" t="s">
        <v>62</v>
      </c>
      <c r="C726" s="237" t="s">
        <v>62</v>
      </c>
      <c r="D726" s="203" t="s">
        <v>985</v>
      </c>
      <c r="E726" s="203" t="s">
        <v>985</v>
      </c>
      <c r="F726" s="205" t="s">
        <v>985</v>
      </c>
      <c r="G726" s="207"/>
      <c r="H726" s="197" t="s">
        <v>29</v>
      </c>
      <c r="I726" s="198"/>
    </row>
    <row r="727" spans="1:9" x14ac:dyDescent="0.25">
      <c r="A727" s="236" t="s">
        <v>804</v>
      </c>
      <c r="B727" s="265" t="s">
        <v>62</v>
      </c>
      <c r="C727" s="266" t="s">
        <v>62</v>
      </c>
      <c r="D727" s="203" t="s">
        <v>985</v>
      </c>
      <c r="E727" s="203" t="s">
        <v>985</v>
      </c>
      <c r="F727" s="205" t="s">
        <v>985</v>
      </c>
      <c r="G727" s="207"/>
      <c r="H727" s="197" t="s">
        <v>36</v>
      </c>
      <c r="I727" s="198"/>
    </row>
    <row r="728" spans="1:9" x14ac:dyDescent="0.25">
      <c r="A728" s="236" t="s">
        <v>805</v>
      </c>
      <c r="B728" s="234" t="s">
        <v>62</v>
      </c>
      <c r="C728" s="257"/>
      <c r="D728" s="203" t="s">
        <v>985</v>
      </c>
      <c r="E728" s="203" t="s">
        <v>985</v>
      </c>
      <c r="F728" s="257" t="s">
        <v>987</v>
      </c>
      <c r="G728" s="207"/>
      <c r="H728" s="197" t="s">
        <v>38</v>
      </c>
      <c r="I728" s="198"/>
    </row>
    <row r="729" spans="1:9" x14ac:dyDescent="0.25">
      <c r="A729" s="236" t="s">
        <v>806</v>
      </c>
      <c r="B729" s="234" t="s">
        <v>62</v>
      </c>
      <c r="C729" s="237" t="s">
        <v>62</v>
      </c>
      <c r="D729" s="203" t="s">
        <v>985</v>
      </c>
      <c r="E729" s="203" t="s">
        <v>985</v>
      </c>
      <c r="F729" s="205" t="s">
        <v>985</v>
      </c>
      <c r="G729" s="207"/>
      <c r="H729" s="197" t="s">
        <v>29</v>
      </c>
      <c r="I729" s="198"/>
    </row>
    <row r="730" spans="1:9" x14ac:dyDescent="0.25">
      <c r="A730" s="199" t="s">
        <v>807</v>
      </c>
      <c r="B730" s="261" t="s">
        <v>51</v>
      </c>
      <c r="C730" s="257"/>
      <c r="D730" s="260" t="s">
        <v>984</v>
      </c>
      <c r="E730" s="203" t="s">
        <v>985</v>
      </c>
      <c r="F730" s="257" t="s">
        <v>987</v>
      </c>
      <c r="G730" s="207"/>
      <c r="H730" s="197" t="s">
        <v>92</v>
      </c>
      <c r="I730" s="198"/>
    </row>
    <row r="731" spans="1:9" x14ac:dyDescent="0.25">
      <c r="A731" s="199" t="s">
        <v>808</v>
      </c>
      <c r="B731" s="269" t="s">
        <v>809</v>
      </c>
      <c r="C731" s="262" t="s">
        <v>809</v>
      </c>
      <c r="D731" s="203" t="s">
        <v>985</v>
      </c>
      <c r="E731" s="203" t="s">
        <v>985</v>
      </c>
      <c r="F731" s="205" t="s">
        <v>985</v>
      </c>
      <c r="G731" s="207"/>
      <c r="H731" s="197" t="s">
        <v>83</v>
      </c>
      <c r="I731" s="198"/>
    </row>
    <row r="732" spans="1:9" x14ac:dyDescent="0.25">
      <c r="A732" s="288" t="s">
        <v>1063</v>
      </c>
      <c r="B732" s="207"/>
      <c r="C732" s="262" t="s">
        <v>809</v>
      </c>
      <c r="D732" s="197"/>
      <c r="E732" s="197"/>
      <c r="F732" s="205" t="s">
        <v>985</v>
      </c>
      <c r="G732" s="207"/>
      <c r="H732" s="197" t="s">
        <v>83</v>
      </c>
      <c r="I732" s="198"/>
    </row>
    <row r="733" spans="1:9" x14ac:dyDescent="0.25">
      <c r="A733" s="199" t="s">
        <v>810</v>
      </c>
      <c r="B733" s="269" t="s">
        <v>809</v>
      </c>
      <c r="C733" s="257"/>
      <c r="D733" s="203" t="s">
        <v>985</v>
      </c>
      <c r="E733" s="203" t="s">
        <v>985</v>
      </c>
      <c r="F733" s="257" t="s">
        <v>987</v>
      </c>
      <c r="G733" s="207"/>
      <c r="H733" s="197" t="s">
        <v>83</v>
      </c>
      <c r="I733" s="198"/>
    </row>
    <row r="734" spans="1:9" x14ac:dyDescent="0.25">
      <c r="A734" s="236" t="s">
        <v>811</v>
      </c>
      <c r="B734" s="265" t="s">
        <v>62</v>
      </c>
      <c r="C734" s="266" t="s">
        <v>62</v>
      </c>
      <c r="D734" s="203" t="s">
        <v>985</v>
      </c>
      <c r="E734" s="203" t="s">
        <v>985</v>
      </c>
      <c r="F734" s="205" t="s">
        <v>985</v>
      </c>
      <c r="G734" s="207"/>
      <c r="H734" s="197" t="s">
        <v>34</v>
      </c>
      <c r="I734" s="198"/>
    </row>
    <row r="735" spans="1:9" x14ac:dyDescent="0.25">
      <c r="A735" s="236" t="s">
        <v>812</v>
      </c>
      <c r="B735" s="234" t="s">
        <v>105</v>
      </c>
      <c r="C735" s="237" t="s">
        <v>105</v>
      </c>
      <c r="D735" s="203" t="s">
        <v>985</v>
      </c>
      <c r="E735" s="203" t="s">
        <v>985</v>
      </c>
      <c r="F735" s="205" t="s">
        <v>985</v>
      </c>
      <c r="G735" s="207"/>
      <c r="H735" s="197" t="s">
        <v>134</v>
      </c>
      <c r="I735" s="198"/>
    </row>
    <row r="736" spans="1:9" x14ac:dyDescent="0.25">
      <c r="A736" s="236" t="s">
        <v>813</v>
      </c>
      <c r="B736" s="234" t="s">
        <v>62</v>
      </c>
      <c r="C736" s="257"/>
      <c r="D736" s="203" t="s">
        <v>985</v>
      </c>
      <c r="E736" s="203" t="s">
        <v>985</v>
      </c>
      <c r="F736" s="257" t="s">
        <v>987</v>
      </c>
      <c r="G736" s="207"/>
      <c r="H736" s="197" t="s">
        <v>37</v>
      </c>
      <c r="I736" s="198"/>
    </row>
    <row r="737" spans="1:9" x14ac:dyDescent="0.25">
      <c r="A737" s="236" t="s">
        <v>814</v>
      </c>
      <c r="B737" s="265" t="s">
        <v>62</v>
      </c>
      <c r="C737" s="266" t="s">
        <v>62</v>
      </c>
      <c r="D737" s="203" t="s">
        <v>985</v>
      </c>
      <c r="E737" s="203" t="s">
        <v>985</v>
      </c>
      <c r="F737" s="205" t="s">
        <v>985</v>
      </c>
      <c r="G737" s="207"/>
      <c r="H737" s="197" t="s">
        <v>33</v>
      </c>
      <c r="I737" s="198"/>
    </row>
    <row r="738" spans="1:9" x14ac:dyDescent="0.25">
      <c r="A738" s="236" t="s">
        <v>815</v>
      </c>
      <c r="B738" s="265" t="s">
        <v>62</v>
      </c>
      <c r="C738" s="266" t="s">
        <v>62</v>
      </c>
      <c r="D738" s="203" t="s">
        <v>985</v>
      </c>
      <c r="E738" s="203" t="s">
        <v>985</v>
      </c>
      <c r="F738" s="205" t="s">
        <v>985</v>
      </c>
      <c r="G738" s="207"/>
      <c r="H738" s="197" t="s">
        <v>36</v>
      </c>
      <c r="I738" s="198"/>
    </row>
    <row r="739" spans="1:9" x14ac:dyDescent="0.25">
      <c r="A739" s="199" t="s">
        <v>816</v>
      </c>
      <c r="B739" s="255" t="s">
        <v>51</v>
      </c>
      <c r="C739" s="262" t="s">
        <v>983</v>
      </c>
      <c r="D739" s="203" t="s">
        <v>985</v>
      </c>
      <c r="E739" s="203" t="s">
        <v>985</v>
      </c>
      <c r="F739" s="205" t="s">
        <v>985</v>
      </c>
      <c r="G739" s="207"/>
      <c r="H739" s="197" t="s">
        <v>125</v>
      </c>
      <c r="I739" s="198"/>
    </row>
    <row r="740" spans="1:9" x14ac:dyDescent="0.25">
      <c r="A740" s="236" t="s">
        <v>817</v>
      </c>
      <c r="B740" s="234" t="s">
        <v>62</v>
      </c>
      <c r="C740" s="237" t="s">
        <v>62</v>
      </c>
      <c r="D740" s="203" t="s">
        <v>985</v>
      </c>
      <c r="E740" s="203" t="s">
        <v>985</v>
      </c>
      <c r="F740" s="205" t="s">
        <v>985</v>
      </c>
      <c r="G740" s="207"/>
      <c r="H740" s="197" t="s">
        <v>27</v>
      </c>
      <c r="I740" s="198"/>
    </row>
    <row r="741" spans="1:9" x14ac:dyDescent="0.25">
      <c r="A741" s="288" t="s">
        <v>1064</v>
      </c>
      <c r="B741" s="207"/>
      <c r="C741" s="262" t="s">
        <v>983</v>
      </c>
      <c r="D741" s="197"/>
      <c r="E741" s="197"/>
      <c r="F741" s="205" t="s">
        <v>985</v>
      </c>
      <c r="G741" s="207"/>
      <c r="H741" s="197" t="s">
        <v>136</v>
      </c>
      <c r="I741" s="198"/>
    </row>
    <row r="742" spans="1:9" x14ac:dyDescent="0.25">
      <c r="A742" s="236" t="s">
        <v>818</v>
      </c>
      <c r="B742" s="234" t="s">
        <v>105</v>
      </c>
      <c r="C742" s="237" t="s">
        <v>105</v>
      </c>
      <c r="D742" s="203" t="s">
        <v>985</v>
      </c>
      <c r="E742" s="203" t="s">
        <v>985</v>
      </c>
      <c r="F742" s="205" t="s">
        <v>985</v>
      </c>
      <c r="G742" s="207"/>
      <c r="H742" s="197" t="s">
        <v>28</v>
      </c>
      <c r="I742" s="198"/>
    </row>
    <row r="743" spans="1:9" x14ac:dyDescent="0.25">
      <c r="A743" s="236" t="s">
        <v>819</v>
      </c>
      <c r="B743" s="234" t="s">
        <v>105</v>
      </c>
      <c r="C743" s="237" t="s">
        <v>105</v>
      </c>
      <c r="D743" s="203" t="s">
        <v>985</v>
      </c>
      <c r="E743" s="203" t="s">
        <v>985</v>
      </c>
      <c r="F743" s="205" t="s">
        <v>985</v>
      </c>
      <c r="G743" s="207"/>
      <c r="H743" s="197" t="s">
        <v>28</v>
      </c>
      <c r="I743" s="198"/>
    </row>
    <row r="744" spans="1:9" x14ac:dyDescent="0.25">
      <c r="A744" s="236" t="s">
        <v>820</v>
      </c>
      <c r="B744" s="265" t="s">
        <v>62</v>
      </c>
      <c r="C744" s="266" t="s">
        <v>62</v>
      </c>
      <c r="D744" s="203" t="s">
        <v>985</v>
      </c>
      <c r="E744" s="203" t="s">
        <v>985</v>
      </c>
      <c r="F744" s="205" t="s">
        <v>985</v>
      </c>
      <c r="G744" s="207"/>
      <c r="H744" s="197" t="s">
        <v>31</v>
      </c>
      <c r="I744" s="198"/>
    </row>
    <row r="745" spans="1:9" x14ac:dyDescent="0.25">
      <c r="A745" s="199" t="s">
        <v>821</v>
      </c>
      <c r="B745" s="261" t="s">
        <v>51</v>
      </c>
      <c r="C745" s="257"/>
      <c r="D745" s="260" t="s">
        <v>984</v>
      </c>
      <c r="E745" s="203" t="s">
        <v>985</v>
      </c>
      <c r="F745" s="257" t="s">
        <v>987</v>
      </c>
      <c r="G745" s="207"/>
      <c r="H745" s="197" t="s">
        <v>230</v>
      </c>
      <c r="I745" s="198"/>
    </row>
    <row r="746" spans="1:9" x14ac:dyDescent="0.25">
      <c r="A746" s="236" t="s">
        <v>822</v>
      </c>
      <c r="B746" s="234" t="s">
        <v>62</v>
      </c>
      <c r="C746" s="237" t="s">
        <v>62</v>
      </c>
      <c r="D746" s="203" t="s">
        <v>985</v>
      </c>
      <c r="E746" s="203" t="s">
        <v>985</v>
      </c>
      <c r="F746" s="205" t="s">
        <v>985</v>
      </c>
      <c r="G746" s="207"/>
      <c r="H746" s="197" t="s">
        <v>29</v>
      </c>
      <c r="I746" s="198"/>
    </row>
    <row r="747" spans="1:9" x14ac:dyDescent="0.25">
      <c r="A747" s="216" t="s">
        <v>823</v>
      </c>
      <c r="B747" s="255" t="s">
        <v>51</v>
      </c>
      <c r="C747" s="262" t="s">
        <v>51</v>
      </c>
      <c r="D747" s="203" t="s">
        <v>985</v>
      </c>
      <c r="E747" s="203" t="s">
        <v>985</v>
      </c>
      <c r="F747" s="205" t="s">
        <v>985</v>
      </c>
      <c r="G747" s="207"/>
      <c r="H747" s="197" t="s">
        <v>35</v>
      </c>
      <c r="I747" s="198"/>
    </row>
    <row r="748" spans="1:9" x14ac:dyDescent="0.25">
      <c r="A748" s="199" t="s">
        <v>824</v>
      </c>
      <c r="B748" s="261" t="s">
        <v>51</v>
      </c>
      <c r="C748" s="257"/>
      <c r="D748" s="260" t="s">
        <v>984</v>
      </c>
      <c r="E748" s="203" t="s">
        <v>985</v>
      </c>
      <c r="F748" s="257" t="s">
        <v>987</v>
      </c>
      <c r="G748" s="207"/>
      <c r="H748" s="197" t="s">
        <v>230</v>
      </c>
      <c r="I748" s="198"/>
    </row>
    <row r="749" spans="1:9" x14ac:dyDescent="0.25">
      <c r="A749" s="236" t="s">
        <v>825</v>
      </c>
      <c r="B749" s="234" t="s">
        <v>62</v>
      </c>
      <c r="C749" s="237" t="s">
        <v>62</v>
      </c>
      <c r="D749" s="203" t="s">
        <v>985</v>
      </c>
      <c r="E749" s="203" t="s">
        <v>985</v>
      </c>
      <c r="F749" s="205" t="s">
        <v>985</v>
      </c>
      <c r="G749" s="207"/>
      <c r="H749" s="197" t="s">
        <v>29</v>
      </c>
      <c r="I749" s="198"/>
    </row>
    <row r="750" spans="1:9" x14ac:dyDescent="0.25">
      <c r="A750" s="199" t="s">
        <v>826</v>
      </c>
      <c r="B750" s="261" t="s">
        <v>51</v>
      </c>
      <c r="C750" s="262" t="s">
        <v>983</v>
      </c>
      <c r="D750" s="260" t="s">
        <v>984</v>
      </c>
      <c r="E750" s="203" t="s">
        <v>985</v>
      </c>
      <c r="F750" s="205" t="s">
        <v>985</v>
      </c>
      <c r="G750" s="207"/>
      <c r="H750" s="197" t="s">
        <v>168</v>
      </c>
      <c r="I750" s="198"/>
    </row>
    <row r="751" spans="1:9" x14ac:dyDescent="0.25">
      <c r="A751" s="199" t="s">
        <v>827</v>
      </c>
      <c r="B751" s="268" t="s">
        <v>57</v>
      </c>
      <c r="C751" s="257"/>
      <c r="D751" s="203" t="s">
        <v>985</v>
      </c>
      <c r="E751" s="260" t="s">
        <v>52</v>
      </c>
      <c r="F751" s="257" t="s">
        <v>987</v>
      </c>
      <c r="G751" s="207"/>
      <c r="H751" s="197" t="s">
        <v>769</v>
      </c>
      <c r="I751" s="198"/>
    </row>
    <row r="752" spans="1:9" x14ac:dyDescent="0.25">
      <c r="A752" s="199" t="s">
        <v>828</v>
      </c>
      <c r="B752" s="269" t="s">
        <v>57</v>
      </c>
      <c r="C752" s="262" t="s">
        <v>983</v>
      </c>
      <c r="D752" s="203" t="s">
        <v>985</v>
      </c>
      <c r="E752" s="203" t="s">
        <v>985</v>
      </c>
      <c r="F752" s="205" t="s">
        <v>985</v>
      </c>
      <c r="G752" s="207"/>
      <c r="H752" s="197" t="s">
        <v>83</v>
      </c>
      <c r="I752" s="198"/>
    </row>
    <row r="753" spans="1:9" x14ac:dyDescent="0.25">
      <c r="A753" s="216" t="s">
        <v>829</v>
      </c>
      <c r="B753" s="293" t="s">
        <v>269</v>
      </c>
      <c r="C753" s="257"/>
      <c r="D753" s="203" t="s">
        <v>985</v>
      </c>
      <c r="E753" s="203" t="s">
        <v>985</v>
      </c>
      <c r="F753" s="257" t="s">
        <v>987</v>
      </c>
      <c r="G753" s="207"/>
      <c r="H753" s="197" t="s">
        <v>136</v>
      </c>
      <c r="I753" s="198"/>
    </row>
    <row r="754" spans="1:9" x14ac:dyDescent="0.25">
      <c r="A754" s="236" t="s">
        <v>830</v>
      </c>
      <c r="B754" s="265" t="s">
        <v>62</v>
      </c>
      <c r="C754" s="266" t="s">
        <v>62</v>
      </c>
      <c r="D754" s="203" t="s">
        <v>985</v>
      </c>
      <c r="E754" s="203" t="s">
        <v>985</v>
      </c>
      <c r="F754" s="205" t="s">
        <v>985</v>
      </c>
      <c r="G754" s="207"/>
      <c r="H754" s="197" t="s">
        <v>31</v>
      </c>
      <c r="I754" s="198"/>
    </row>
    <row r="755" spans="1:9" x14ac:dyDescent="0.25">
      <c r="A755" s="288" t="s">
        <v>1065</v>
      </c>
      <c r="B755" s="207"/>
      <c r="C755" s="262" t="s">
        <v>983</v>
      </c>
      <c r="D755" s="197"/>
      <c r="E755" s="197"/>
      <c r="F755" s="281" t="s">
        <v>52</v>
      </c>
      <c r="G755" s="207"/>
      <c r="H755" s="197" t="s">
        <v>53</v>
      </c>
      <c r="I755" s="198"/>
    </row>
    <row r="756" spans="1:9" x14ac:dyDescent="0.25">
      <c r="A756" s="236" t="s">
        <v>831</v>
      </c>
      <c r="B756" s="234" t="s">
        <v>62</v>
      </c>
      <c r="C756" s="237" t="s">
        <v>62</v>
      </c>
      <c r="D756" s="203" t="s">
        <v>985</v>
      </c>
      <c r="E756" s="203" t="s">
        <v>985</v>
      </c>
      <c r="F756" s="205" t="s">
        <v>985</v>
      </c>
      <c r="G756" s="207"/>
      <c r="H756" s="197" t="s">
        <v>29</v>
      </c>
      <c r="I756" s="198"/>
    </row>
    <row r="757" spans="1:9" x14ac:dyDescent="0.25">
      <c r="A757" s="199" t="s">
        <v>832</v>
      </c>
      <c r="B757" s="269" t="s">
        <v>57</v>
      </c>
      <c r="C757" s="262" t="s">
        <v>983</v>
      </c>
      <c r="D757" s="203" t="s">
        <v>985</v>
      </c>
      <c r="E757" s="203" t="s">
        <v>985</v>
      </c>
      <c r="F757" s="205" t="s">
        <v>985</v>
      </c>
      <c r="G757" s="207"/>
      <c r="H757" s="197" t="s">
        <v>78</v>
      </c>
      <c r="I757" s="198"/>
    </row>
    <row r="758" spans="1:9" x14ac:dyDescent="0.25">
      <c r="A758" s="199" t="s">
        <v>833</v>
      </c>
      <c r="B758" s="255" t="s">
        <v>51</v>
      </c>
      <c r="C758" s="257"/>
      <c r="D758" s="203" t="s">
        <v>985</v>
      </c>
      <c r="E758" s="203" t="s">
        <v>985</v>
      </c>
      <c r="F758" s="257" t="s">
        <v>987</v>
      </c>
      <c r="G758" s="207"/>
      <c r="H758" s="197" t="s">
        <v>35</v>
      </c>
      <c r="I758" s="198"/>
    </row>
    <row r="759" spans="1:9" x14ac:dyDescent="0.25">
      <c r="A759" s="236" t="s">
        <v>834</v>
      </c>
      <c r="B759" s="234" t="s">
        <v>62</v>
      </c>
      <c r="C759" s="257"/>
      <c r="D759" s="203" t="s">
        <v>985</v>
      </c>
      <c r="E759" s="203" t="s">
        <v>985</v>
      </c>
      <c r="F759" s="257" t="s">
        <v>987</v>
      </c>
      <c r="G759" s="207"/>
      <c r="H759" s="197" t="s">
        <v>37</v>
      </c>
      <c r="I759" s="198"/>
    </row>
    <row r="760" spans="1:9" x14ac:dyDescent="0.25">
      <c r="A760" s="236" t="s">
        <v>835</v>
      </c>
      <c r="B760" s="234" t="s">
        <v>62</v>
      </c>
      <c r="C760" s="237" t="s">
        <v>62</v>
      </c>
      <c r="D760" s="203" t="s">
        <v>985</v>
      </c>
      <c r="E760" s="203" t="s">
        <v>985</v>
      </c>
      <c r="F760" s="205" t="s">
        <v>985</v>
      </c>
      <c r="G760" s="207"/>
      <c r="H760" s="197" t="s">
        <v>38</v>
      </c>
      <c r="I760" s="198"/>
    </row>
    <row r="761" spans="1:9" x14ac:dyDescent="0.25">
      <c r="A761" s="236" t="s">
        <v>836</v>
      </c>
      <c r="B761" s="234" t="s">
        <v>62</v>
      </c>
      <c r="C761" s="237" t="s">
        <v>62</v>
      </c>
      <c r="D761" s="203" t="s">
        <v>985</v>
      </c>
      <c r="E761" s="203" t="s">
        <v>985</v>
      </c>
      <c r="F761" s="205" t="s">
        <v>985</v>
      </c>
      <c r="G761" s="207"/>
      <c r="H761" s="197" t="s">
        <v>38</v>
      </c>
      <c r="I761" s="198"/>
    </row>
    <row r="762" spans="1:9" x14ac:dyDescent="0.25">
      <c r="A762" s="236" t="s">
        <v>837</v>
      </c>
      <c r="B762" s="234" t="s">
        <v>62</v>
      </c>
      <c r="C762" s="237" t="s">
        <v>62</v>
      </c>
      <c r="D762" s="203" t="s">
        <v>985</v>
      </c>
      <c r="E762" s="203" t="s">
        <v>985</v>
      </c>
      <c r="F762" s="205" t="s">
        <v>985</v>
      </c>
      <c r="G762" s="207"/>
      <c r="H762" s="197" t="s">
        <v>29</v>
      </c>
      <c r="I762" s="198"/>
    </row>
    <row r="763" spans="1:9" x14ac:dyDescent="0.25">
      <c r="A763" s="199" t="s">
        <v>838</v>
      </c>
      <c r="B763" s="269" t="s">
        <v>986</v>
      </c>
      <c r="C763" s="257"/>
      <c r="D763" s="280" t="s">
        <v>52</v>
      </c>
      <c r="E763" s="280" t="s">
        <v>52</v>
      </c>
      <c r="F763" s="281" t="s">
        <v>52</v>
      </c>
      <c r="G763" s="207"/>
      <c r="H763" s="197" t="s">
        <v>64</v>
      </c>
      <c r="I763" s="198"/>
    </row>
    <row r="764" spans="1:9" x14ac:dyDescent="0.25">
      <c r="A764" s="236" t="s">
        <v>839</v>
      </c>
      <c r="B764" s="234" t="s">
        <v>62</v>
      </c>
      <c r="C764" s="237" t="s">
        <v>62</v>
      </c>
      <c r="D764" s="203" t="s">
        <v>985</v>
      </c>
      <c r="E764" s="203" t="s">
        <v>985</v>
      </c>
      <c r="F764" s="205" t="s">
        <v>985</v>
      </c>
      <c r="G764" s="207"/>
      <c r="H764" s="197" t="s">
        <v>29</v>
      </c>
      <c r="I764" s="198"/>
    </row>
    <row r="765" spans="1:9" x14ac:dyDescent="0.25">
      <c r="A765" s="236" t="s">
        <v>840</v>
      </c>
      <c r="B765" s="234" t="s">
        <v>105</v>
      </c>
      <c r="C765" s="237" t="s">
        <v>105</v>
      </c>
      <c r="D765" s="203" t="s">
        <v>985</v>
      </c>
      <c r="E765" s="203" t="s">
        <v>985</v>
      </c>
      <c r="F765" s="205" t="s">
        <v>985</v>
      </c>
      <c r="G765" s="207"/>
      <c r="H765" s="197" t="s">
        <v>134</v>
      </c>
      <c r="I765" s="198"/>
    </row>
    <row r="766" spans="1:9" x14ac:dyDescent="0.25">
      <c r="A766" s="236" t="s">
        <v>841</v>
      </c>
      <c r="B766" s="234" t="s">
        <v>62</v>
      </c>
      <c r="C766" s="237" t="s">
        <v>62</v>
      </c>
      <c r="D766" s="203" t="s">
        <v>985</v>
      </c>
      <c r="E766" s="203" t="s">
        <v>985</v>
      </c>
      <c r="F766" s="205" t="s">
        <v>985</v>
      </c>
      <c r="G766" s="207"/>
      <c r="H766" s="197" t="s">
        <v>29</v>
      </c>
      <c r="I766" s="198"/>
    </row>
    <row r="767" spans="1:9" x14ac:dyDescent="0.25">
      <c r="A767" s="199" t="s">
        <v>842</v>
      </c>
      <c r="B767" s="255" t="s">
        <v>51</v>
      </c>
      <c r="C767" s="262" t="s">
        <v>983</v>
      </c>
      <c r="D767" s="203" t="s">
        <v>985</v>
      </c>
      <c r="E767" s="203" t="s">
        <v>985</v>
      </c>
      <c r="F767" s="205" t="s">
        <v>985</v>
      </c>
      <c r="G767" s="207"/>
      <c r="H767" s="197" t="s">
        <v>168</v>
      </c>
      <c r="I767" s="198"/>
    </row>
    <row r="768" spans="1:9" x14ac:dyDescent="0.25">
      <c r="A768" s="236" t="s">
        <v>843</v>
      </c>
      <c r="B768" s="234" t="s">
        <v>62</v>
      </c>
      <c r="C768" s="237" t="s">
        <v>62</v>
      </c>
      <c r="D768" s="203" t="s">
        <v>985</v>
      </c>
      <c r="E768" s="203" t="s">
        <v>985</v>
      </c>
      <c r="F768" s="205" t="s">
        <v>985</v>
      </c>
      <c r="G768" s="207"/>
      <c r="H768" s="197" t="s">
        <v>29</v>
      </c>
      <c r="I768" s="198"/>
    </row>
    <row r="769" spans="1:9" x14ac:dyDescent="0.25">
      <c r="A769" s="236" t="s">
        <v>844</v>
      </c>
      <c r="B769" s="234" t="s">
        <v>62</v>
      </c>
      <c r="C769" s="237" t="s">
        <v>62</v>
      </c>
      <c r="D769" s="203" t="s">
        <v>985</v>
      </c>
      <c r="E769" s="203" t="s">
        <v>985</v>
      </c>
      <c r="F769" s="205" t="s">
        <v>985</v>
      </c>
      <c r="G769" s="207"/>
      <c r="H769" s="197" t="s">
        <v>27</v>
      </c>
      <c r="I769" s="198"/>
    </row>
    <row r="770" spans="1:9" x14ac:dyDescent="0.25">
      <c r="A770" s="236" t="s">
        <v>845</v>
      </c>
      <c r="B770" s="265" t="s">
        <v>62</v>
      </c>
      <c r="C770" s="266" t="s">
        <v>62</v>
      </c>
      <c r="D770" s="203" t="s">
        <v>985</v>
      </c>
      <c r="E770" s="203" t="s">
        <v>985</v>
      </c>
      <c r="F770" s="205" t="s">
        <v>985</v>
      </c>
      <c r="G770" s="207"/>
      <c r="H770" s="197" t="s">
        <v>31</v>
      </c>
      <c r="I770" s="198"/>
    </row>
    <row r="771" spans="1:9" x14ac:dyDescent="0.25">
      <c r="A771" s="236" t="s">
        <v>846</v>
      </c>
      <c r="B771" s="265" t="s">
        <v>62</v>
      </c>
      <c r="C771" s="266" t="s">
        <v>62</v>
      </c>
      <c r="D771" s="203" t="s">
        <v>985</v>
      </c>
      <c r="E771" s="203" t="s">
        <v>985</v>
      </c>
      <c r="F771" s="205" t="s">
        <v>985</v>
      </c>
      <c r="G771" s="207"/>
      <c r="H771" s="197" t="s">
        <v>30</v>
      </c>
      <c r="I771" s="198"/>
    </row>
    <row r="772" spans="1:9" x14ac:dyDescent="0.25">
      <c r="A772" s="199" t="s">
        <v>847</v>
      </c>
      <c r="B772" s="255" t="s">
        <v>51</v>
      </c>
      <c r="C772" s="262" t="s">
        <v>983</v>
      </c>
      <c r="D772" s="203" t="s">
        <v>985</v>
      </c>
      <c r="E772" s="203" t="s">
        <v>985</v>
      </c>
      <c r="F772" s="205" t="s">
        <v>985</v>
      </c>
      <c r="G772" s="207"/>
      <c r="H772" s="197" t="s">
        <v>125</v>
      </c>
      <c r="I772" s="198"/>
    </row>
    <row r="773" spans="1:9" x14ac:dyDescent="0.25">
      <c r="A773" s="199" t="s">
        <v>848</v>
      </c>
      <c r="B773" s="269" t="s">
        <v>57</v>
      </c>
      <c r="C773" s="262" t="s">
        <v>983</v>
      </c>
      <c r="D773" s="203" t="s">
        <v>985</v>
      </c>
      <c r="E773" s="203" t="s">
        <v>985</v>
      </c>
      <c r="F773" s="205" t="s">
        <v>985</v>
      </c>
      <c r="G773" s="207"/>
      <c r="H773" s="197" t="s">
        <v>78</v>
      </c>
      <c r="I773" s="198"/>
    </row>
    <row r="774" spans="1:9" x14ac:dyDescent="0.25">
      <c r="A774" s="236" t="s">
        <v>849</v>
      </c>
      <c r="B774" s="234" t="s">
        <v>62</v>
      </c>
      <c r="C774" s="237" t="s">
        <v>62</v>
      </c>
      <c r="D774" s="203" t="s">
        <v>985</v>
      </c>
      <c r="E774" s="203" t="s">
        <v>985</v>
      </c>
      <c r="F774" s="205" t="s">
        <v>985</v>
      </c>
      <c r="G774" s="207"/>
      <c r="H774" s="197" t="s">
        <v>27</v>
      </c>
      <c r="I774" s="198"/>
    </row>
    <row r="775" spans="1:9" x14ac:dyDescent="0.25">
      <c r="A775" s="236" t="s">
        <v>850</v>
      </c>
      <c r="B775" s="234" t="s">
        <v>62</v>
      </c>
      <c r="C775" s="237" t="s">
        <v>62</v>
      </c>
      <c r="D775" s="203" t="s">
        <v>985</v>
      </c>
      <c r="E775" s="203" t="s">
        <v>985</v>
      </c>
      <c r="F775" s="205" t="s">
        <v>985</v>
      </c>
      <c r="G775" s="207"/>
      <c r="H775" s="197" t="s">
        <v>29</v>
      </c>
      <c r="I775" s="198"/>
    </row>
    <row r="776" spans="1:9" x14ac:dyDescent="0.25">
      <c r="A776" s="236" t="s">
        <v>851</v>
      </c>
      <c r="B776" s="234" t="s">
        <v>62</v>
      </c>
      <c r="C776" s="237" t="s">
        <v>62</v>
      </c>
      <c r="D776" s="203" t="s">
        <v>985</v>
      </c>
      <c r="E776" s="203" t="s">
        <v>985</v>
      </c>
      <c r="F776" s="205" t="s">
        <v>985</v>
      </c>
      <c r="G776" s="207"/>
      <c r="H776" s="197" t="s">
        <v>29</v>
      </c>
      <c r="I776" s="198"/>
    </row>
    <row r="777" spans="1:9" x14ac:dyDescent="0.25">
      <c r="A777" s="199" t="s">
        <v>852</v>
      </c>
      <c r="B777" s="259" t="s">
        <v>156</v>
      </c>
      <c r="C777" s="257"/>
      <c r="D777" s="203" t="s">
        <v>985</v>
      </c>
      <c r="E777" s="260" t="s">
        <v>52</v>
      </c>
      <c r="F777" s="257" t="s">
        <v>987</v>
      </c>
      <c r="G777" s="207"/>
      <c r="H777" s="197" t="s">
        <v>30</v>
      </c>
      <c r="I777" s="198"/>
    </row>
    <row r="778" spans="1:9" x14ac:dyDescent="0.25">
      <c r="A778" s="236" t="s">
        <v>853</v>
      </c>
      <c r="B778" s="234" t="s">
        <v>62</v>
      </c>
      <c r="C778" s="237" t="s">
        <v>62</v>
      </c>
      <c r="D778" s="203" t="s">
        <v>985</v>
      </c>
      <c r="E778" s="203" t="s">
        <v>985</v>
      </c>
      <c r="F778" s="205" t="s">
        <v>985</v>
      </c>
      <c r="G778" s="207"/>
      <c r="H778" s="197" t="s">
        <v>29</v>
      </c>
      <c r="I778" s="198"/>
    </row>
    <row r="779" spans="1:9" x14ac:dyDescent="0.25">
      <c r="A779" s="333" t="s">
        <v>1311</v>
      </c>
      <c r="B779" s="345"/>
      <c r="C779" s="337"/>
      <c r="D779" s="203" t="s">
        <v>985</v>
      </c>
      <c r="E779" s="203" t="s">
        <v>985</v>
      </c>
      <c r="F779" s="205" t="s">
        <v>985</v>
      </c>
      <c r="G779" s="334"/>
      <c r="H779" s="351" t="s">
        <v>134</v>
      </c>
      <c r="I779" s="336"/>
    </row>
    <row r="780" spans="1:9" x14ac:dyDescent="0.25">
      <c r="A780" s="236" t="s">
        <v>854</v>
      </c>
      <c r="B780" s="234" t="s">
        <v>105</v>
      </c>
      <c r="C780" s="237" t="s">
        <v>105</v>
      </c>
      <c r="D780" s="203" t="s">
        <v>985</v>
      </c>
      <c r="E780" s="203" t="s">
        <v>985</v>
      </c>
      <c r="F780" s="205" t="s">
        <v>985</v>
      </c>
      <c r="G780" s="207"/>
      <c r="H780" s="197" t="s">
        <v>28</v>
      </c>
      <c r="I780" s="198"/>
    </row>
    <row r="781" spans="1:9" x14ac:dyDescent="0.25">
      <c r="A781" s="236" t="s">
        <v>855</v>
      </c>
      <c r="B781" s="265" t="s">
        <v>105</v>
      </c>
      <c r="C781" s="266" t="s">
        <v>105</v>
      </c>
      <c r="D781" s="203" t="s">
        <v>985</v>
      </c>
      <c r="E781" s="203" t="s">
        <v>985</v>
      </c>
      <c r="F781" s="205" t="s">
        <v>985</v>
      </c>
      <c r="G781" s="207"/>
      <c r="H781" s="197" t="s">
        <v>35</v>
      </c>
      <c r="I781" s="198"/>
    </row>
    <row r="782" spans="1:9" x14ac:dyDescent="0.25">
      <c r="A782" s="236" t="s">
        <v>856</v>
      </c>
      <c r="B782" s="265" t="s">
        <v>62</v>
      </c>
      <c r="C782" s="266" t="s">
        <v>62</v>
      </c>
      <c r="D782" s="203" t="s">
        <v>985</v>
      </c>
      <c r="E782" s="203" t="s">
        <v>985</v>
      </c>
      <c r="F782" s="205" t="s">
        <v>985</v>
      </c>
      <c r="G782" s="207"/>
      <c r="H782" s="197" t="s">
        <v>31</v>
      </c>
      <c r="I782" s="198"/>
    </row>
    <row r="783" spans="1:9" x14ac:dyDescent="0.25">
      <c r="A783" s="216" t="s">
        <v>857</v>
      </c>
      <c r="B783" s="269" t="s">
        <v>57</v>
      </c>
      <c r="C783" s="257"/>
      <c r="D783" s="203" t="s">
        <v>985</v>
      </c>
      <c r="E783" s="260" t="s">
        <v>52</v>
      </c>
      <c r="F783" s="257" t="s">
        <v>987</v>
      </c>
      <c r="G783" s="207"/>
      <c r="H783" s="197" t="s">
        <v>35</v>
      </c>
      <c r="I783" s="198"/>
    </row>
    <row r="784" spans="1:9" x14ac:dyDescent="0.25">
      <c r="A784" s="236" t="s">
        <v>858</v>
      </c>
      <c r="B784" s="265" t="s">
        <v>105</v>
      </c>
      <c r="C784" s="266" t="s">
        <v>105</v>
      </c>
      <c r="D784" s="203" t="s">
        <v>985</v>
      </c>
      <c r="E784" s="203" t="s">
        <v>985</v>
      </c>
      <c r="F784" s="205" t="s">
        <v>985</v>
      </c>
      <c r="G784" s="207"/>
      <c r="H784" s="197" t="s">
        <v>35</v>
      </c>
      <c r="I784" s="198"/>
    </row>
    <row r="785" spans="1:9" x14ac:dyDescent="0.25">
      <c r="A785" s="199" t="s">
        <v>859</v>
      </c>
      <c r="B785" s="261" t="s">
        <v>51</v>
      </c>
      <c r="C785" s="257"/>
      <c r="D785" s="260" t="s">
        <v>984</v>
      </c>
      <c r="E785" s="203" t="s">
        <v>985</v>
      </c>
      <c r="F785" s="257" t="s">
        <v>987</v>
      </c>
      <c r="G785" s="207"/>
      <c r="H785" s="197" t="s">
        <v>168</v>
      </c>
      <c r="I785" s="198"/>
    </row>
    <row r="786" spans="1:9" x14ac:dyDescent="0.25">
      <c r="A786" s="216" t="s">
        <v>860</v>
      </c>
      <c r="B786" s="255" t="s">
        <v>51</v>
      </c>
      <c r="C786" s="257"/>
      <c r="D786" s="280" t="s">
        <v>52</v>
      </c>
      <c r="E786" s="280" t="s">
        <v>52</v>
      </c>
      <c r="F786" s="281" t="s">
        <v>52</v>
      </c>
      <c r="G786" s="207"/>
      <c r="H786" s="197" t="s">
        <v>75</v>
      </c>
      <c r="I786" s="198"/>
    </row>
    <row r="787" spans="1:9" x14ac:dyDescent="0.25">
      <c r="A787" s="208" t="s">
        <v>861</v>
      </c>
      <c r="B787" s="255" t="s">
        <v>51</v>
      </c>
      <c r="C787" s="262" t="s">
        <v>983</v>
      </c>
      <c r="D787" s="203" t="s">
        <v>985</v>
      </c>
      <c r="E787" s="203" t="s">
        <v>985</v>
      </c>
      <c r="F787" s="205" t="s">
        <v>985</v>
      </c>
      <c r="G787" s="207"/>
      <c r="H787" s="197" t="s">
        <v>168</v>
      </c>
      <c r="I787" s="198"/>
    </row>
    <row r="788" spans="1:9" x14ac:dyDescent="0.25">
      <c r="A788" s="199" t="s">
        <v>862</v>
      </c>
      <c r="B788" s="255" t="s">
        <v>51</v>
      </c>
      <c r="C788" s="262" t="s">
        <v>983</v>
      </c>
      <c r="D788" s="203" t="s">
        <v>985</v>
      </c>
      <c r="E788" s="203" t="s">
        <v>985</v>
      </c>
      <c r="F788" s="205" t="s">
        <v>985</v>
      </c>
      <c r="G788" s="207"/>
      <c r="H788" s="197" t="s">
        <v>125</v>
      </c>
      <c r="I788" s="198"/>
    </row>
    <row r="789" spans="1:9" x14ac:dyDescent="0.25">
      <c r="A789" s="288" t="s">
        <v>1066</v>
      </c>
      <c r="B789" s="207"/>
      <c r="C789" s="262" t="s">
        <v>983</v>
      </c>
      <c r="D789" s="197"/>
      <c r="E789" s="197"/>
      <c r="F789" s="205" t="s">
        <v>985</v>
      </c>
      <c r="G789" s="207"/>
      <c r="H789" s="197" t="s">
        <v>78</v>
      </c>
      <c r="I789" s="198"/>
    </row>
    <row r="790" spans="1:9" x14ac:dyDescent="0.25">
      <c r="A790" s="199" t="s">
        <v>863</v>
      </c>
      <c r="B790" s="255" t="s">
        <v>51</v>
      </c>
      <c r="C790" s="257"/>
      <c r="D790" s="280" t="s">
        <v>52</v>
      </c>
      <c r="E790" s="280" t="s">
        <v>52</v>
      </c>
      <c r="F790" s="281" t="s">
        <v>52</v>
      </c>
      <c r="G790" s="207"/>
      <c r="H790" s="197" t="s">
        <v>75</v>
      </c>
      <c r="I790" s="198"/>
    </row>
    <row r="791" spans="1:9" x14ac:dyDescent="0.25">
      <c r="A791" s="236" t="s">
        <v>864</v>
      </c>
      <c r="B791" s="234" t="s">
        <v>62</v>
      </c>
      <c r="C791" s="237" t="s">
        <v>62</v>
      </c>
      <c r="D791" s="203" t="s">
        <v>985</v>
      </c>
      <c r="E791" s="203" t="s">
        <v>985</v>
      </c>
      <c r="F791" s="205" t="s">
        <v>985</v>
      </c>
      <c r="G791" s="207"/>
      <c r="H791" s="197" t="s">
        <v>29</v>
      </c>
      <c r="I791" s="198"/>
    </row>
    <row r="792" spans="1:9" x14ac:dyDescent="0.25">
      <c r="A792" s="199" t="s">
        <v>865</v>
      </c>
      <c r="B792" s="255" t="s">
        <v>51</v>
      </c>
      <c r="C792" s="262" t="s">
        <v>983</v>
      </c>
      <c r="D792" s="280" t="s">
        <v>52</v>
      </c>
      <c r="E792" s="280" t="s">
        <v>52</v>
      </c>
      <c r="F792" s="281" t="s">
        <v>52</v>
      </c>
      <c r="G792" s="207"/>
      <c r="H792" s="197" t="s">
        <v>80</v>
      </c>
      <c r="I792" s="198"/>
    </row>
    <row r="793" spans="1:9" x14ac:dyDescent="0.25">
      <c r="A793" s="236" t="s">
        <v>867</v>
      </c>
      <c r="B793" s="234" t="s">
        <v>62</v>
      </c>
      <c r="C793" s="237" t="s">
        <v>62</v>
      </c>
      <c r="D793" s="203" t="s">
        <v>985</v>
      </c>
      <c r="E793" s="203" t="s">
        <v>985</v>
      </c>
      <c r="F793" s="205" t="s">
        <v>985</v>
      </c>
      <c r="G793" s="207"/>
      <c r="H793" s="197" t="s">
        <v>29</v>
      </c>
      <c r="I793" s="198"/>
    </row>
    <row r="794" spans="1:9" x14ac:dyDescent="0.25">
      <c r="A794" s="288" t="s">
        <v>1067</v>
      </c>
      <c r="B794" s="207"/>
      <c r="C794" s="262" t="s">
        <v>983</v>
      </c>
      <c r="D794" s="197"/>
      <c r="E794" s="197"/>
      <c r="F794" s="281" t="s">
        <v>52</v>
      </c>
      <c r="G794" s="207"/>
      <c r="H794" s="197" t="s">
        <v>53</v>
      </c>
      <c r="I794" s="198"/>
    </row>
    <row r="795" spans="1:9" x14ac:dyDescent="0.25">
      <c r="A795" s="199" t="s">
        <v>868</v>
      </c>
      <c r="B795" s="255" t="s">
        <v>51</v>
      </c>
      <c r="C795" s="257"/>
      <c r="D795" s="280" t="s">
        <v>52</v>
      </c>
      <c r="E795" s="280" t="s">
        <v>52</v>
      </c>
      <c r="F795" s="281" t="s">
        <v>52</v>
      </c>
      <c r="G795" s="207"/>
      <c r="H795" s="197" t="s">
        <v>53</v>
      </c>
      <c r="I795" s="198"/>
    </row>
    <row r="796" spans="1:9" x14ac:dyDescent="0.25">
      <c r="A796" s="236" t="s">
        <v>870</v>
      </c>
      <c r="B796" s="265" t="s">
        <v>62</v>
      </c>
      <c r="C796" s="266" t="s">
        <v>62</v>
      </c>
      <c r="D796" s="203" t="s">
        <v>985</v>
      </c>
      <c r="E796" s="203" t="s">
        <v>985</v>
      </c>
      <c r="F796" s="205" t="s">
        <v>985</v>
      </c>
      <c r="G796" s="207"/>
      <c r="H796" s="197" t="s">
        <v>36</v>
      </c>
      <c r="I796" s="198"/>
    </row>
    <row r="797" spans="1:9" x14ac:dyDescent="0.25">
      <c r="A797" s="216" t="s">
        <v>871</v>
      </c>
      <c r="B797" s="255" t="s">
        <v>51</v>
      </c>
      <c r="C797" s="262" t="s">
        <v>51</v>
      </c>
      <c r="D797" s="203" t="s">
        <v>985</v>
      </c>
      <c r="E797" s="203" t="s">
        <v>985</v>
      </c>
      <c r="F797" s="205" t="s">
        <v>985</v>
      </c>
      <c r="G797" s="207"/>
      <c r="H797" s="197" t="s">
        <v>35</v>
      </c>
      <c r="I797" s="198"/>
    </row>
    <row r="798" spans="1:9" x14ac:dyDescent="0.25">
      <c r="A798" s="236" t="s">
        <v>872</v>
      </c>
      <c r="B798" s="234" t="s">
        <v>105</v>
      </c>
      <c r="C798" s="237" t="s">
        <v>105</v>
      </c>
      <c r="D798" s="203" t="s">
        <v>985</v>
      </c>
      <c r="E798" s="203" t="s">
        <v>985</v>
      </c>
      <c r="F798" s="205" t="s">
        <v>985</v>
      </c>
      <c r="G798" s="207"/>
      <c r="H798" s="197" t="s">
        <v>134</v>
      </c>
      <c r="I798" s="198"/>
    </row>
    <row r="799" spans="1:9" x14ac:dyDescent="0.25">
      <c r="A799" s="236" t="s">
        <v>873</v>
      </c>
      <c r="B799" s="265" t="s">
        <v>105</v>
      </c>
      <c r="C799" s="266" t="s">
        <v>105</v>
      </c>
      <c r="D799" s="203" t="s">
        <v>985</v>
      </c>
      <c r="E799" s="203" t="s">
        <v>985</v>
      </c>
      <c r="F799" s="205" t="s">
        <v>985</v>
      </c>
      <c r="G799" s="207"/>
      <c r="H799" s="197" t="s">
        <v>35</v>
      </c>
      <c r="I799" s="198"/>
    </row>
    <row r="800" spans="1:9" x14ac:dyDescent="0.25">
      <c r="A800" s="236" t="s">
        <v>874</v>
      </c>
      <c r="B800" s="265" t="s">
        <v>62</v>
      </c>
      <c r="C800" s="266" t="s">
        <v>62</v>
      </c>
      <c r="D800" s="203" t="s">
        <v>985</v>
      </c>
      <c r="E800" s="203" t="s">
        <v>985</v>
      </c>
      <c r="F800" s="205" t="s">
        <v>985</v>
      </c>
      <c r="G800" s="207"/>
      <c r="H800" s="197" t="s">
        <v>30</v>
      </c>
      <c r="I800" s="198"/>
    </row>
    <row r="801" spans="1:9" x14ac:dyDescent="0.25">
      <c r="A801" s="199" t="s">
        <v>875</v>
      </c>
      <c r="B801" s="261" t="s">
        <v>51</v>
      </c>
      <c r="C801" s="257"/>
      <c r="D801" s="260" t="s">
        <v>984</v>
      </c>
      <c r="E801" s="203" t="s">
        <v>985</v>
      </c>
      <c r="F801" s="257" t="s">
        <v>987</v>
      </c>
      <c r="G801" s="207"/>
      <c r="H801" s="197" t="s">
        <v>168</v>
      </c>
      <c r="I801" s="198"/>
    </row>
    <row r="802" spans="1:9" x14ac:dyDescent="0.25">
      <c r="A802" s="199" t="s">
        <v>876</v>
      </c>
      <c r="B802" s="255" t="s">
        <v>51</v>
      </c>
      <c r="C802" s="257"/>
      <c r="D802" s="280" t="s">
        <v>52</v>
      </c>
      <c r="E802" s="280" t="s">
        <v>52</v>
      </c>
      <c r="F802" s="281" t="s">
        <v>52</v>
      </c>
      <c r="G802" s="207"/>
      <c r="H802" s="197" t="s">
        <v>75</v>
      </c>
      <c r="I802" s="198"/>
    </row>
    <row r="803" spans="1:9" x14ac:dyDescent="0.25">
      <c r="A803" s="199" t="s">
        <v>877</v>
      </c>
      <c r="B803" s="269" t="s">
        <v>57</v>
      </c>
      <c r="C803" s="263" t="s">
        <v>983</v>
      </c>
      <c r="D803" s="203" t="s">
        <v>985</v>
      </c>
      <c r="E803" s="203" t="s">
        <v>985</v>
      </c>
      <c r="F803" s="205" t="s">
        <v>985</v>
      </c>
      <c r="G803" s="207"/>
      <c r="H803" s="197" t="s">
        <v>136</v>
      </c>
      <c r="I803" s="198"/>
    </row>
    <row r="804" spans="1:9" x14ac:dyDescent="0.25">
      <c r="A804" s="216" t="s">
        <v>878</v>
      </c>
      <c r="B804" s="285" t="s">
        <v>57</v>
      </c>
      <c r="C804" s="262" t="s">
        <v>983</v>
      </c>
      <c r="D804" s="203" t="s">
        <v>985</v>
      </c>
      <c r="E804" s="203" t="s">
        <v>985</v>
      </c>
      <c r="F804" s="205" t="s">
        <v>985</v>
      </c>
      <c r="G804" s="207"/>
      <c r="H804" s="197" t="s">
        <v>136</v>
      </c>
      <c r="I804" s="198"/>
    </row>
    <row r="805" spans="1:9" x14ac:dyDescent="0.25">
      <c r="A805" s="216" t="s">
        <v>879</v>
      </c>
      <c r="B805" s="285" t="s">
        <v>57</v>
      </c>
      <c r="C805" s="262" t="s">
        <v>983</v>
      </c>
      <c r="D805" s="203" t="s">
        <v>985</v>
      </c>
      <c r="E805" s="203" t="s">
        <v>985</v>
      </c>
      <c r="F805" s="205" t="s">
        <v>985</v>
      </c>
      <c r="G805" s="207"/>
      <c r="H805" s="197" t="s">
        <v>136</v>
      </c>
      <c r="I805" s="198"/>
    </row>
    <row r="806" spans="1:9" x14ac:dyDescent="0.25">
      <c r="A806" s="199" t="s">
        <v>880</v>
      </c>
      <c r="B806" s="259" t="s">
        <v>51</v>
      </c>
      <c r="C806" s="257"/>
      <c r="D806" s="203" t="s">
        <v>985</v>
      </c>
      <c r="E806" s="260" t="s">
        <v>52</v>
      </c>
      <c r="F806" s="257" t="s">
        <v>987</v>
      </c>
      <c r="G806" s="207"/>
      <c r="H806" s="197" t="s">
        <v>37</v>
      </c>
      <c r="I806" s="198"/>
    </row>
    <row r="807" spans="1:9" x14ac:dyDescent="0.25">
      <c r="A807" s="216" t="s">
        <v>881</v>
      </c>
      <c r="B807" s="285" t="s">
        <v>57</v>
      </c>
      <c r="C807" s="262" t="s">
        <v>983</v>
      </c>
      <c r="D807" s="203" t="s">
        <v>985</v>
      </c>
      <c r="E807" s="203" t="s">
        <v>985</v>
      </c>
      <c r="F807" s="205" t="s">
        <v>985</v>
      </c>
      <c r="G807" s="207"/>
      <c r="H807" s="197" t="s">
        <v>136</v>
      </c>
      <c r="I807" s="198"/>
    </row>
    <row r="808" spans="1:9" x14ac:dyDescent="0.25">
      <c r="A808" s="236" t="s">
        <v>882</v>
      </c>
      <c r="B808" s="234" t="s">
        <v>62</v>
      </c>
      <c r="C808" s="237" t="s">
        <v>62</v>
      </c>
      <c r="D808" s="203" t="s">
        <v>985</v>
      </c>
      <c r="E808" s="203" t="s">
        <v>985</v>
      </c>
      <c r="F808" s="205" t="s">
        <v>985</v>
      </c>
      <c r="G808" s="207"/>
      <c r="H808" s="197" t="s">
        <v>29</v>
      </c>
      <c r="I808" s="198"/>
    </row>
    <row r="809" spans="1:9" x14ac:dyDescent="0.25">
      <c r="A809" s="236" t="s">
        <v>883</v>
      </c>
      <c r="B809" s="234" t="s">
        <v>62</v>
      </c>
      <c r="C809" s="237" t="s">
        <v>62</v>
      </c>
      <c r="D809" s="203" t="s">
        <v>985</v>
      </c>
      <c r="E809" s="203" t="s">
        <v>985</v>
      </c>
      <c r="F809" s="205" t="s">
        <v>985</v>
      </c>
      <c r="G809" s="207"/>
      <c r="H809" s="197" t="s">
        <v>29</v>
      </c>
      <c r="I809" s="198"/>
    </row>
    <row r="810" spans="1:9" x14ac:dyDescent="0.25">
      <c r="A810" s="236" t="s">
        <v>884</v>
      </c>
      <c r="B810" s="234" t="s">
        <v>62</v>
      </c>
      <c r="C810" s="237" t="s">
        <v>62</v>
      </c>
      <c r="D810" s="203" t="s">
        <v>985</v>
      </c>
      <c r="E810" s="203" t="s">
        <v>985</v>
      </c>
      <c r="F810" s="205" t="s">
        <v>985</v>
      </c>
      <c r="G810" s="207"/>
      <c r="H810" s="197" t="s">
        <v>29</v>
      </c>
      <c r="I810" s="198"/>
    </row>
    <row r="811" spans="1:9" x14ac:dyDescent="0.25">
      <c r="A811" s="199" t="s">
        <v>885</v>
      </c>
      <c r="B811" s="255" t="s">
        <v>51</v>
      </c>
      <c r="C811" s="262" t="s">
        <v>983</v>
      </c>
      <c r="D811" s="203" t="s">
        <v>985</v>
      </c>
      <c r="E811" s="203" t="s">
        <v>985</v>
      </c>
      <c r="F811" s="205" t="s">
        <v>985</v>
      </c>
      <c r="G811" s="207"/>
      <c r="H811" s="197" t="s">
        <v>123</v>
      </c>
      <c r="I811" s="198"/>
    </row>
    <row r="812" spans="1:9" x14ac:dyDescent="0.25">
      <c r="A812" s="333" t="s">
        <v>1312</v>
      </c>
      <c r="B812" s="345"/>
      <c r="C812" s="337"/>
      <c r="D812" s="203" t="s">
        <v>985</v>
      </c>
      <c r="E812" s="203" t="s">
        <v>985</v>
      </c>
      <c r="F812" s="205" t="s">
        <v>985</v>
      </c>
      <c r="G812" s="334"/>
      <c r="H812" s="351" t="s">
        <v>134</v>
      </c>
      <c r="I812" s="336"/>
    </row>
    <row r="813" spans="1:9" x14ac:dyDescent="0.25">
      <c r="A813" s="236" t="s">
        <v>886</v>
      </c>
      <c r="B813" s="234" t="s">
        <v>62</v>
      </c>
      <c r="C813" s="237" t="s">
        <v>62</v>
      </c>
      <c r="D813" s="203" t="s">
        <v>985</v>
      </c>
      <c r="E813" s="203" t="s">
        <v>985</v>
      </c>
      <c r="F813" s="205" t="s">
        <v>985</v>
      </c>
      <c r="G813" s="207"/>
      <c r="H813" s="197" t="s">
        <v>29</v>
      </c>
      <c r="I813" s="198"/>
    </row>
    <row r="814" spans="1:9" x14ac:dyDescent="0.25">
      <c r="A814" s="236" t="s">
        <v>887</v>
      </c>
      <c r="B814" s="265" t="s">
        <v>62</v>
      </c>
      <c r="C814" s="266" t="s">
        <v>62</v>
      </c>
      <c r="D814" s="203" t="s">
        <v>985</v>
      </c>
      <c r="E814" s="203" t="s">
        <v>985</v>
      </c>
      <c r="F814" s="205" t="s">
        <v>985</v>
      </c>
      <c r="G814" s="207"/>
      <c r="H814" s="197" t="s">
        <v>31</v>
      </c>
      <c r="I814" s="198"/>
    </row>
    <row r="815" spans="1:9" x14ac:dyDescent="0.25">
      <c r="A815" s="236" t="s">
        <v>888</v>
      </c>
      <c r="B815" s="265" t="s">
        <v>62</v>
      </c>
      <c r="C815" s="266" t="s">
        <v>62</v>
      </c>
      <c r="D815" s="203" t="s">
        <v>985</v>
      </c>
      <c r="E815" s="203" t="s">
        <v>985</v>
      </c>
      <c r="F815" s="205" t="s">
        <v>985</v>
      </c>
      <c r="G815" s="207"/>
      <c r="H815" s="197" t="s">
        <v>32</v>
      </c>
      <c r="I815" s="198"/>
    </row>
    <row r="816" spans="1:9" x14ac:dyDescent="0.25">
      <c r="A816" s="236" t="s">
        <v>889</v>
      </c>
      <c r="B816" s="265" t="s">
        <v>62</v>
      </c>
      <c r="C816" s="266" t="s">
        <v>62</v>
      </c>
      <c r="D816" s="203" t="s">
        <v>985</v>
      </c>
      <c r="E816" s="203" t="s">
        <v>985</v>
      </c>
      <c r="F816" s="205" t="s">
        <v>985</v>
      </c>
      <c r="G816" s="207"/>
      <c r="H816" s="197" t="s">
        <v>30</v>
      </c>
      <c r="I816" s="198"/>
    </row>
    <row r="817" spans="1:9" x14ac:dyDescent="0.25">
      <c r="A817" s="236" t="s">
        <v>890</v>
      </c>
      <c r="B817" s="265" t="s">
        <v>62</v>
      </c>
      <c r="C817" s="266" t="s">
        <v>62</v>
      </c>
      <c r="D817" s="203" t="s">
        <v>985</v>
      </c>
      <c r="E817" s="203" t="s">
        <v>985</v>
      </c>
      <c r="F817" s="205" t="s">
        <v>985</v>
      </c>
      <c r="G817" s="207"/>
      <c r="H817" s="197" t="s">
        <v>32</v>
      </c>
      <c r="I817" s="198"/>
    </row>
    <row r="818" spans="1:9" x14ac:dyDescent="0.25">
      <c r="A818" s="236" t="s">
        <v>891</v>
      </c>
      <c r="B818" s="265" t="s">
        <v>105</v>
      </c>
      <c r="C818" s="266" t="s">
        <v>105</v>
      </c>
      <c r="D818" s="203" t="s">
        <v>985</v>
      </c>
      <c r="E818" s="203" t="s">
        <v>985</v>
      </c>
      <c r="F818" s="205" t="s">
        <v>985</v>
      </c>
      <c r="G818" s="207"/>
      <c r="H818" s="197" t="s">
        <v>34</v>
      </c>
      <c r="I818" s="198"/>
    </row>
    <row r="819" spans="1:9" x14ac:dyDescent="0.25">
      <c r="A819" s="236" t="s">
        <v>892</v>
      </c>
      <c r="B819" s="265" t="s">
        <v>62</v>
      </c>
      <c r="C819" s="266" t="s">
        <v>62</v>
      </c>
      <c r="D819" s="203" t="s">
        <v>985</v>
      </c>
      <c r="E819" s="203" t="s">
        <v>985</v>
      </c>
      <c r="F819" s="205" t="s">
        <v>985</v>
      </c>
      <c r="G819" s="207"/>
      <c r="H819" s="197" t="s">
        <v>31</v>
      </c>
      <c r="I819" s="198"/>
    </row>
    <row r="820" spans="1:9" x14ac:dyDescent="0.25">
      <c r="A820" s="246" t="s">
        <v>893</v>
      </c>
      <c r="B820" s="234" t="s">
        <v>105</v>
      </c>
      <c r="C820" s="237" t="s">
        <v>105</v>
      </c>
      <c r="D820" s="203" t="s">
        <v>985</v>
      </c>
      <c r="E820" s="203" t="s">
        <v>985</v>
      </c>
      <c r="F820" s="205" t="s">
        <v>985</v>
      </c>
      <c r="G820" s="207"/>
      <c r="H820" s="197" t="s">
        <v>134</v>
      </c>
      <c r="I820" s="198"/>
    </row>
    <row r="821" spans="1:9" x14ac:dyDescent="0.25">
      <c r="A821" s="199" t="s">
        <v>1068</v>
      </c>
      <c r="B821" s="255" t="s">
        <v>51</v>
      </c>
      <c r="C821" s="262" t="s">
        <v>983</v>
      </c>
      <c r="D821" s="280" t="s">
        <v>52</v>
      </c>
      <c r="E821" s="280" t="s">
        <v>52</v>
      </c>
      <c r="F821" s="281" t="s">
        <v>52</v>
      </c>
      <c r="G821" s="207"/>
      <c r="H821" s="197" t="s">
        <v>53</v>
      </c>
      <c r="I821" s="198"/>
    </row>
    <row r="822" spans="1:9" x14ac:dyDescent="0.25">
      <c r="A822" s="236" t="s">
        <v>894</v>
      </c>
      <c r="B822" s="234" t="s">
        <v>62</v>
      </c>
      <c r="C822" s="237" t="s">
        <v>62</v>
      </c>
      <c r="D822" s="203" t="s">
        <v>985</v>
      </c>
      <c r="E822" s="203" t="s">
        <v>985</v>
      </c>
      <c r="F822" s="205" t="s">
        <v>985</v>
      </c>
      <c r="G822" s="207"/>
      <c r="H822" s="197" t="s">
        <v>29</v>
      </c>
      <c r="I822" s="198"/>
    </row>
    <row r="823" spans="1:9" x14ac:dyDescent="0.25">
      <c r="A823" s="236" t="s">
        <v>895</v>
      </c>
      <c r="B823" s="234" t="s">
        <v>62</v>
      </c>
      <c r="C823" s="237" t="s">
        <v>62</v>
      </c>
      <c r="D823" s="203" t="s">
        <v>985</v>
      </c>
      <c r="E823" s="203" t="s">
        <v>985</v>
      </c>
      <c r="F823" s="205" t="s">
        <v>985</v>
      </c>
      <c r="G823" s="207"/>
      <c r="H823" s="197" t="s">
        <v>29</v>
      </c>
      <c r="I823" s="198"/>
    </row>
    <row r="824" spans="1:9" x14ac:dyDescent="0.25">
      <c r="A824" s="199" t="s">
        <v>896</v>
      </c>
      <c r="B824" s="255" t="s">
        <v>89</v>
      </c>
      <c r="C824" s="283" t="s">
        <v>989</v>
      </c>
      <c r="D824" s="280" t="s">
        <v>52</v>
      </c>
      <c r="E824" s="280" t="s">
        <v>52</v>
      </c>
      <c r="F824" s="281" t="s">
        <v>52</v>
      </c>
      <c r="G824" s="207"/>
      <c r="H824" s="197" t="s">
        <v>75</v>
      </c>
      <c r="I824" s="198"/>
    </row>
    <row r="825" spans="1:9" x14ac:dyDescent="0.25">
      <c r="A825" s="199" t="s">
        <v>897</v>
      </c>
      <c r="B825" s="255" t="s">
        <v>51</v>
      </c>
      <c r="C825" s="262" t="s">
        <v>983</v>
      </c>
      <c r="D825" s="203" t="s">
        <v>985</v>
      </c>
      <c r="E825" s="203" t="s">
        <v>985</v>
      </c>
      <c r="F825" s="205" t="s">
        <v>985</v>
      </c>
      <c r="G825" s="207"/>
      <c r="H825" s="197" t="s">
        <v>125</v>
      </c>
      <c r="I825" s="198"/>
    </row>
    <row r="826" spans="1:9" x14ac:dyDescent="0.25">
      <c r="A826" s="199" t="s">
        <v>898</v>
      </c>
      <c r="B826" s="261" t="s">
        <v>51</v>
      </c>
      <c r="C826" s="262" t="s">
        <v>983</v>
      </c>
      <c r="D826" s="260" t="s">
        <v>984</v>
      </c>
      <c r="E826" s="203" t="s">
        <v>985</v>
      </c>
      <c r="F826" s="205" t="s">
        <v>985</v>
      </c>
      <c r="G826" s="207"/>
      <c r="H826" s="197" t="s">
        <v>168</v>
      </c>
      <c r="I826" s="198"/>
    </row>
    <row r="827" spans="1:9" x14ac:dyDescent="0.25">
      <c r="A827" s="236" t="s">
        <v>899</v>
      </c>
      <c r="B827" s="265" t="s">
        <v>62</v>
      </c>
      <c r="C827" s="266" t="s">
        <v>62</v>
      </c>
      <c r="D827" s="203" t="s">
        <v>985</v>
      </c>
      <c r="E827" s="203" t="s">
        <v>985</v>
      </c>
      <c r="F827" s="205" t="s">
        <v>985</v>
      </c>
      <c r="G827" s="207"/>
      <c r="H827" s="197" t="s">
        <v>36</v>
      </c>
      <c r="I827" s="198"/>
    </row>
    <row r="828" spans="1:9" x14ac:dyDescent="0.25">
      <c r="A828" s="199" t="s">
        <v>900</v>
      </c>
      <c r="B828" s="269" t="s">
        <v>986</v>
      </c>
      <c r="C828" s="257"/>
      <c r="D828" s="280" t="s">
        <v>52</v>
      </c>
      <c r="E828" s="280" t="s">
        <v>52</v>
      </c>
      <c r="F828" s="281" t="s">
        <v>52</v>
      </c>
      <c r="G828" s="207"/>
      <c r="H828" s="197" t="s">
        <v>64</v>
      </c>
      <c r="I828" s="198"/>
    </row>
    <row r="829" spans="1:9" x14ac:dyDescent="0.25">
      <c r="A829" s="236" t="s">
        <v>901</v>
      </c>
      <c r="B829" s="234" t="s">
        <v>62</v>
      </c>
      <c r="C829" s="237" t="s">
        <v>62</v>
      </c>
      <c r="D829" s="203" t="s">
        <v>985</v>
      </c>
      <c r="E829" s="203" t="s">
        <v>985</v>
      </c>
      <c r="F829" s="205" t="s">
        <v>985</v>
      </c>
      <c r="G829" s="207"/>
      <c r="H829" s="197" t="s">
        <v>134</v>
      </c>
      <c r="I829" s="198"/>
    </row>
    <row r="830" spans="1:9" x14ac:dyDescent="0.25">
      <c r="A830" s="199" t="s">
        <v>902</v>
      </c>
      <c r="B830" s="255" t="s">
        <v>51</v>
      </c>
      <c r="C830" s="262" t="s">
        <v>986</v>
      </c>
      <c r="D830" s="203" t="s">
        <v>985</v>
      </c>
      <c r="E830" s="203" t="s">
        <v>985</v>
      </c>
      <c r="F830" s="205" t="s">
        <v>985</v>
      </c>
      <c r="G830" s="207"/>
      <c r="H830" s="197" t="s">
        <v>35</v>
      </c>
      <c r="I830" s="198"/>
    </row>
    <row r="831" spans="1:9" x14ac:dyDescent="0.25">
      <c r="A831" s="199" t="s">
        <v>903</v>
      </c>
      <c r="B831" s="261" t="s">
        <v>57</v>
      </c>
      <c r="C831" s="262" t="s">
        <v>983</v>
      </c>
      <c r="D831" s="260" t="s">
        <v>984</v>
      </c>
      <c r="E831" s="203" t="s">
        <v>985</v>
      </c>
      <c r="F831" s="205" t="s">
        <v>985</v>
      </c>
      <c r="G831" s="207"/>
      <c r="H831" s="197" t="s">
        <v>37</v>
      </c>
      <c r="I831" s="198"/>
    </row>
    <row r="832" spans="1:9" x14ac:dyDescent="0.25">
      <c r="A832" s="288" t="s">
        <v>1069</v>
      </c>
      <c r="B832" s="255" t="s">
        <v>51</v>
      </c>
      <c r="C832" s="262" t="s">
        <v>983</v>
      </c>
      <c r="D832" s="203" t="s">
        <v>985</v>
      </c>
      <c r="E832" s="203" t="s">
        <v>985</v>
      </c>
      <c r="F832" s="205" t="s">
        <v>985</v>
      </c>
      <c r="G832" s="207"/>
      <c r="H832" s="197" t="s">
        <v>226</v>
      </c>
      <c r="I832" s="198"/>
    </row>
    <row r="833" spans="1:9" x14ac:dyDescent="0.25">
      <c r="A833" s="199" t="s">
        <v>905</v>
      </c>
      <c r="B833" s="269" t="s">
        <v>164</v>
      </c>
      <c r="C833" s="257"/>
      <c r="D833" s="280" t="s">
        <v>52</v>
      </c>
      <c r="E833" s="280" t="s">
        <v>52</v>
      </c>
      <c r="F833" s="281" t="s">
        <v>52</v>
      </c>
      <c r="G833" s="207"/>
      <c r="H833" s="197" t="s">
        <v>75</v>
      </c>
      <c r="I833" s="198"/>
    </row>
    <row r="834" spans="1:9" x14ac:dyDescent="0.25">
      <c r="A834" s="236" t="s">
        <v>906</v>
      </c>
      <c r="B834" s="234" t="s">
        <v>62</v>
      </c>
      <c r="C834" s="237" t="s">
        <v>62</v>
      </c>
      <c r="D834" s="203" t="s">
        <v>985</v>
      </c>
      <c r="E834" s="203" t="s">
        <v>985</v>
      </c>
      <c r="F834" s="205" t="s">
        <v>985</v>
      </c>
      <c r="G834" s="207"/>
      <c r="H834" s="197" t="s">
        <v>29</v>
      </c>
      <c r="I834" s="198"/>
    </row>
    <row r="835" spans="1:9" x14ac:dyDescent="0.25">
      <c r="A835" s="236" t="s">
        <v>907</v>
      </c>
      <c r="B835" s="254"/>
      <c r="C835" s="253"/>
      <c r="D835" s="203" t="s">
        <v>985</v>
      </c>
      <c r="E835" s="203" t="s">
        <v>985</v>
      </c>
      <c r="F835" s="257" t="s">
        <v>987</v>
      </c>
      <c r="G835" s="207"/>
      <c r="H835" s="197" t="s">
        <v>36</v>
      </c>
      <c r="I835" s="198"/>
    </row>
    <row r="836" spans="1:9" x14ac:dyDescent="0.25">
      <c r="A836" s="236" t="s">
        <v>908</v>
      </c>
      <c r="B836" s="234" t="s">
        <v>62</v>
      </c>
      <c r="C836" s="237" t="s">
        <v>62</v>
      </c>
      <c r="D836" s="203" t="s">
        <v>985</v>
      </c>
      <c r="E836" s="203" t="s">
        <v>985</v>
      </c>
      <c r="F836" s="205" t="s">
        <v>985</v>
      </c>
      <c r="G836" s="207"/>
      <c r="H836" s="197" t="s">
        <v>29</v>
      </c>
      <c r="I836" s="198"/>
    </row>
    <row r="837" spans="1:9" x14ac:dyDescent="0.25">
      <c r="A837" s="236" t="s">
        <v>909</v>
      </c>
      <c r="B837" s="234" t="s">
        <v>105</v>
      </c>
      <c r="C837" s="237" t="s">
        <v>105</v>
      </c>
      <c r="D837" s="203" t="s">
        <v>985</v>
      </c>
      <c r="E837" s="203" t="s">
        <v>985</v>
      </c>
      <c r="F837" s="205" t="s">
        <v>985</v>
      </c>
      <c r="G837" s="207"/>
      <c r="H837" s="197" t="s">
        <v>27</v>
      </c>
      <c r="I837" s="198"/>
    </row>
    <row r="838" spans="1:9" x14ac:dyDescent="0.25">
      <c r="A838" s="236" t="s">
        <v>910</v>
      </c>
      <c r="B838" s="265" t="s">
        <v>105</v>
      </c>
      <c r="C838" s="266" t="s">
        <v>105</v>
      </c>
      <c r="D838" s="203" t="s">
        <v>985</v>
      </c>
      <c r="E838" s="203" t="s">
        <v>985</v>
      </c>
      <c r="F838" s="205" t="s">
        <v>985</v>
      </c>
      <c r="G838" s="207"/>
      <c r="H838" s="197" t="s">
        <v>34</v>
      </c>
      <c r="I838" s="198"/>
    </row>
    <row r="839" spans="1:9" x14ac:dyDescent="0.25">
      <c r="A839" s="199" t="s">
        <v>911</v>
      </c>
      <c r="B839" s="305" t="s">
        <v>51</v>
      </c>
      <c r="C839" s="262" t="s">
        <v>983</v>
      </c>
      <c r="D839" s="260" t="s">
        <v>984</v>
      </c>
      <c r="E839" s="203" t="s">
        <v>985</v>
      </c>
      <c r="F839" s="205" t="s">
        <v>985</v>
      </c>
      <c r="G839" s="207"/>
      <c r="H839" s="197" t="s">
        <v>168</v>
      </c>
      <c r="I839" s="198"/>
    </row>
    <row r="840" spans="1:9" x14ac:dyDescent="0.25">
      <c r="A840" s="236" t="s">
        <v>912</v>
      </c>
      <c r="B840" s="234" t="s">
        <v>62</v>
      </c>
      <c r="C840" s="257"/>
      <c r="D840" s="203" t="s">
        <v>985</v>
      </c>
      <c r="E840" s="203" t="s">
        <v>985</v>
      </c>
      <c r="F840" s="257" t="s">
        <v>987</v>
      </c>
      <c r="G840" s="207"/>
      <c r="H840" s="197" t="s">
        <v>37</v>
      </c>
      <c r="I840" s="198"/>
    </row>
    <row r="841" spans="1:9" x14ac:dyDescent="0.25">
      <c r="A841" s="236" t="s">
        <v>913</v>
      </c>
      <c r="B841" s="234" t="s">
        <v>62</v>
      </c>
      <c r="C841" s="237" t="s">
        <v>62</v>
      </c>
      <c r="D841" s="203" t="s">
        <v>985</v>
      </c>
      <c r="E841" s="203" t="s">
        <v>985</v>
      </c>
      <c r="F841" s="205" t="s">
        <v>985</v>
      </c>
      <c r="G841" s="207"/>
      <c r="H841" s="197" t="s">
        <v>37</v>
      </c>
      <c r="I841" s="198"/>
    </row>
    <row r="842" spans="1:9" x14ac:dyDescent="0.25">
      <c r="A842" s="236" t="s">
        <v>914</v>
      </c>
      <c r="B842" s="234" t="s">
        <v>62</v>
      </c>
      <c r="C842" s="237" t="s">
        <v>62</v>
      </c>
      <c r="D842" s="203" t="s">
        <v>985</v>
      </c>
      <c r="E842" s="203" t="s">
        <v>985</v>
      </c>
      <c r="F842" s="205" t="s">
        <v>985</v>
      </c>
      <c r="G842" s="197"/>
      <c r="H842" s="197" t="s">
        <v>37</v>
      </c>
      <c r="I842" s="198"/>
    </row>
    <row r="843" spans="1:9" x14ac:dyDescent="0.25">
      <c r="A843" s="199" t="s">
        <v>915</v>
      </c>
      <c r="B843" s="269" t="s">
        <v>66</v>
      </c>
      <c r="C843" s="257"/>
      <c r="D843" s="203" t="s">
        <v>985</v>
      </c>
      <c r="E843" s="203" t="s">
        <v>985</v>
      </c>
      <c r="F843" s="257" t="s">
        <v>987</v>
      </c>
      <c r="G843" s="207"/>
      <c r="H843" s="197" t="s">
        <v>95</v>
      </c>
      <c r="I843" s="198"/>
    </row>
    <row r="844" spans="1:9" x14ac:dyDescent="0.25">
      <c r="A844" s="236" t="s">
        <v>916</v>
      </c>
      <c r="B844" s="234" t="s">
        <v>62</v>
      </c>
      <c r="C844" s="257"/>
      <c r="D844" s="203" t="s">
        <v>985</v>
      </c>
      <c r="E844" s="203" t="s">
        <v>985</v>
      </c>
      <c r="F844" s="257" t="s">
        <v>987</v>
      </c>
      <c r="G844" s="207"/>
      <c r="H844" s="197" t="s">
        <v>37</v>
      </c>
      <c r="I844" s="198"/>
    </row>
    <row r="845" spans="1:9" x14ac:dyDescent="0.25">
      <c r="A845" s="199" t="s">
        <v>917</v>
      </c>
      <c r="B845" s="259" t="s">
        <v>51</v>
      </c>
      <c r="C845" s="262" t="s">
        <v>983</v>
      </c>
      <c r="D845" s="203" t="s">
        <v>985</v>
      </c>
      <c r="E845" s="260" t="s">
        <v>52</v>
      </c>
      <c r="F845" s="205" t="s">
        <v>985</v>
      </c>
      <c r="G845" s="207"/>
      <c r="H845" s="197" t="s">
        <v>95</v>
      </c>
      <c r="I845" s="198"/>
    </row>
    <row r="846" spans="1:9" x14ac:dyDescent="0.25">
      <c r="A846" s="236" t="s">
        <v>918</v>
      </c>
      <c r="B846" s="234" t="s">
        <v>62</v>
      </c>
      <c r="C846" s="237" t="s">
        <v>62</v>
      </c>
      <c r="D846" s="203" t="s">
        <v>985</v>
      </c>
      <c r="E846" s="203" t="s">
        <v>985</v>
      </c>
      <c r="F846" s="205" t="s">
        <v>985</v>
      </c>
      <c r="G846" s="207"/>
      <c r="H846" s="197" t="s">
        <v>38</v>
      </c>
      <c r="I846" s="198"/>
    </row>
    <row r="847" spans="1:9" x14ac:dyDescent="0.25">
      <c r="A847" s="199" t="s">
        <v>919</v>
      </c>
      <c r="B847" s="304" t="s">
        <v>286</v>
      </c>
      <c r="C847" s="289" t="s">
        <v>286</v>
      </c>
      <c r="D847" s="203" t="s">
        <v>985</v>
      </c>
      <c r="E847" s="203" t="s">
        <v>985</v>
      </c>
      <c r="F847" s="205" t="s">
        <v>985</v>
      </c>
      <c r="G847" s="207" t="s">
        <v>985</v>
      </c>
      <c r="H847" s="197" t="s">
        <v>168</v>
      </c>
      <c r="I847" s="198"/>
    </row>
    <row r="848" spans="1:9" x14ac:dyDescent="0.25">
      <c r="A848" s="236" t="s">
        <v>920</v>
      </c>
      <c r="B848" s="255" t="s">
        <v>51</v>
      </c>
      <c r="C848" s="257"/>
      <c r="D848" s="203" t="s">
        <v>985</v>
      </c>
      <c r="E848" s="203" t="s">
        <v>985</v>
      </c>
      <c r="F848" s="257" t="s">
        <v>987</v>
      </c>
      <c r="G848" s="207"/>
      <c r="H848" s="197" t="s">
        <v>123</v>
      </c>
      <c r="I848" s="198"/>
    </row>
    <row r="849" spans="1:9" x14ac:dyDescent="0.25">
      <c r="A849" s="236" t="s">
        <v>921</v>
      </c>
      <c r="B849" s="265" t="s">
        <v>62</v>
      </c>
      <c r="C849" s="266" t="s">
        <v>62</v>
      </c>
      <c r="D849" s="203" t="s">
        <v>985</v>
      </c>
      <c r="E849" s="203" t="s">
        <v>985</v>
      </c>
      <c r="F849" s="205" t="s">
        <v>985</v>
      </c>
      <c r="G849" s="207"/>
      <c r="H849" s="197" t="s">
        <v>36</v>
      </c>
      <c r="I849" s="198"/>
    </row>
    <row r="850" spans="1:9" x14ac:dyDescent="0.25">
      <c r="A850" s="236" t="s">
        <v>922</v>
      </c>
      <c r="B850" s="265" t="s">
        <v>62</v>
      </c>
      <c r="C850" s="266" t="s">
        <v>62</v>
      </c>
      <c r="D850" s="203" t="s">
        <v>985</v>
      </c>
      <c r="E850" s="203" t="s">
        <v>985</v>
      </c>
      <c r="F850" s="205" t="s">
        <v>985</v>
      </c>
      <c r="G850" s="207"/>
      <c r="H850" s="197" t="s">
        <v>36</v>
      </c>
      <c r="I850" s="198"/>
    </row>
    <row r="851" spans="1:9" x14ac:dyDescent="0.25">
      <c r="A851" s="236" t="s">
        <v>923</v>
      </c>
      <c r="B851" s="234" t="s">
        <v>62</v>
      </c>
      <c r="C851" s="237" t="s">
        <v>62</v>
      </c>
      <c r="D851" s="203" t="s">
        <v>985</v>
      </c>
      <c r="E851" s="203" t="s">
        <v>985</v>
      </c>
      <c r="F851" s="205" t="s">
        <v>985</v>
      </c>
      <c r="G851" s="207"/>
      <c r="H851" s="197" t="s">
        <v>29</v>
      </c>
      <c r="I851" s="198"/>
    </row>
    <row r="852" spans="1:9" x14ac:dyDescent="0.25">
      <c r="A852" s="236" t="s">
        <v>924</v>
      </c>
      <c r="B852" s="234" t="s">
        <v>62</v>
      </c>
      <c r="C852" s="257"/>
      <c r="D852" s="203" t="s">
        <v>985</v>
      </c>
      <c r="E852" s="203" t="s">
        <v>985</v>
      </c>
      <c r="F852" s="257" t="s">
        <v>987</v>
      </c>
      <c r="G852" s="207"/>
      <c r="H852" s="197" t="s">
        <v>37</v>
      </c>
      <c r="I852" s="198"/>
    </row>
    <row r="853" spans="1:9" x14ac:dyDescent="0.25">
      <c r="A853" s="199" t="s">
        <v>925</v>
      </c>
      <c r="B853" s="255" t="s">
        <v>51</v>
      </c>
      <c r="C853" s="257"/>
      <c r="D853" s="203" t="s">
        <v>985</v>
      </c>
      <c r="E853" s="203" t="s">
        <v>985</v>
      </c>
      <c r="F853" s="257" t="s">
        <v>987</v>
      </c>
      <c r="G853" s="207"/>
      <c r="H853" s="197" t="s">
        <v>134</v>
      </c>
      <c r="I853" s="198"/>
    </row>
    <row r="854" spans="1:9" x14ac:dyDescent="0.25">
      <c r="A854" s="288" t="s">
        <v>1070</v>
      </c>
      <c r="B854" s="207"/>
      <c r="C854" s="262" t="s">
        <v>51</v>
      </c>
      <c r="D854" s="197"/>
      <c r="E854" s="197"/>
      <c r="F854" s="205" t="s">
        <v>985</v>
      </c>
      <c r="G854" s="207"/>
      <c r="H854" s="197" t="s">
        <v>134</v>
      </c>
      <c r="I854" s="198"/>
    </row>
    <row r="855" spans="1:9" x14ac:dyDescent="0.25">
      <c r="A855" s="236" t="s">
        <v>926</v>
      </c>
      <c r="B855" s="234" t="s">
        <v>105</v>
      </c>
      <c r="C855" s="237" t="s">
        <v>105</v>
      </c>
      <c r="D855" s="203" t="s">
        <v>985</v>
      </c>
      <c r="E855" s="203" t="s">
        <v>985</v>
      </c>
      <c r="F855" s="205" t="s">
        <v>985</v>
      </c>
      <c r="G855" s="207"/>
      <c r="H855" s="197" t="s">
        <v>28</v>
      </c>
      <c r="I855" s="198"/>
    </row>
    <row r="856" spans="1:9" x14ac:dyDescent="0.25">
      <c r="A856" s="199" t="s">
        <v>1071</v>
      </c>
      <c r="B856" s="255" t="s">
        <v>51</v>
      </c>
      <c r="C856" s="262" t="s">
        <v>51</v>
      </c>
      <c r="D856" s="203" t="s">
        <v>985</v>
      </c>
      <c r="E856" s="203" t="s">
        <v>985</v>
      </c>
      <c r="F856" s="205" t="s">
        <v>985</v>
      </c>
      <c r="G856" s="207"/>
      <c r="H856" s="197" t="s">
        <v>35</v>
      </c>
      <c r="I856" s="198"/>
    </row>
    <row r="857" spans="1:9" x14ac:dyDescent="0.25">
      <c r="A857" s="236" t="s">
        <v>927</v>
      </c>
      <c r="B857" s="265" t="s">
        <v>62</v>
      </c>
      <c r="C857" s="266" t="s">
        <v>62</v>
      </c>
      <c r="D857" s="203" t="s">
        <v>985</v>
      </c>
      <c r="E857" s="203" t="s">
        <v>985</v>
      </c>
      <c r="F857" s="205" t="s">
        <v>985</v>
      </c>
      <c r="G857" s="207"/>
      <c r="H857" s="197" t="s">
        <v>31</v>
      </c>
      <c r="I857" s="198"/>
    </row>
    <row r="858" spans="1:9" x14ac:dyDescent="0.25">
      <c r="A858" s="236" t="s">
        <v>928</v>
      </c>
      <c r="B858" s="265" t="s">
        <v>62</v>
      </c>
      <c r="C858" s="266" t="s">
        <v>62</v>
      </c>
      <c r="D858" s="203" t="s">
        <v>985</v>
      </c>
      <c r="E858" s="203" t="s">
        <v>985</v>
      </c>
      <c r="F858" s="205" t="s">
        <v>985</v>
      </c>
      <c r="G858" s="197"/>
      <c r="H858" s="197" t="s">
        <v>32</v>
      </c>
      <c r="I858" s="198"/>
    </row>
    <row r="859" spans="1:9" x14ac:dyDescent="0.25">
      <c r="A859" s="199" t="s">
        <v>929</v>
      </c>
      <c r="B859" s="268" t="s">
        <v>156</v>
      </c>
      <c r="C859" s="257"/>
      <c r="D859" s="203" t="s">
        <v>985</v>
      </c>
      <c r="E859" s="260" t="s">
        <v>52</v>
      </c>
      <c r="F859" s="257" t="s">
        <v>987</v>
      </c>
      <c r="G859" s="207"/>
      <c r="H859" s="197" t="s">
        <v>30</v>
      </c>
      <c r="I859" s="198"/>
    </row>
    <row r="860" spans="1:9" x14ac:dyDescent="0.25">
      <c r="A860" s="199" t="s">
        <v>930</v>
      </c>
      <c r="B860" s="251" t="s">
        <v>57</v>
      </c>
      <c r="C860" s="257"/>
      <c r="D860" s="203" t="s">
        <v>985</v>
      </c>
      <c r="E860" s="203" t="s">
        <v>985</v>
      </c>
      <c r="F860" s="257" t="s">
        <v>987</v>
      </c>
      <c r="G860" s="207"/>
      <c r="H860" s="197" t="s">
        <v>136</v>
      </c>
      <c r="I860" s="198"/>
    </row>
    <row r="861" spans="1:9" x14ac:dyDescent="0.25">
      <c r="A861" s="290" t="s">
        <v>1072</v>
      </c>
      <c r="B861" s="207"/>
      <c r="C861" s="289" t="s">
        <v>983</v>
      </c>
      <c r="D861" s="197"/>
      <c r="E861" s="197"/>
      <c r="F861" s="205" t="s">
        <v>985</v>
      </c>
      <c r="G861" s="207"/>
      <c r="H861" s="197" t="s">
        <v>136</v>
      </c>
      <c r="I861" s="198"/>
    </row>
    <row r="862" spans="1:9" x14ac:dyDescent="0.25">
      <c r="A862" s="236" t="s">
        <v>931</v>
      </c>
      <c r="B862" s="234" t="s">
        <v>62</v>
      </c>
      <c r="C862" s="257"/>
      <c r="D862" s="203" t="s">
        <v>985</v>
      </c>
      <c r="E862" s="203" t="s">
        <v>985</v>
      </c>
      <c r="F862" s="257" t="s">
        <v>987</v>
      </c>
      <c r="G862" s="207"/>
      <c r="H862" s="197" t="s">
        <v>37</v>
      </c>
      <c r="I862" s="198"/>
    </row>
    <row r="863" spans="1:9" x14ac:dyDescent="0.25">
      <c r="A863" s="199" t="s">
        <v>932</v>
      </c>
      <c r="B863" s="251" t="s">
        <v>933</v>
      </c>
      <c r="C863" s="262" t="s">
        <v>933</v>
      </c>
      <c r="D863" s="203" t="s">
        <v>985</v>
      </c>
      <c r="E863" s="203" t="s">
        <v>985</v>
      </c>
      <c r="F863" s="205" t="s">
        <v>985</v>
      </c>
      <c r="G863" s="207" t="s">
        <v>985</v>
      </c>
      <c r="H863" s="197" t="s">
        <v>83</v>
      </c>
      <c r="I863" s="198"/>
    </row>
    <row r="864" spans="1:9" x14ac:dyDescent="0.25">
      <c r="A864" s="199" t="s">
        <v>934</v>
      </c>
      <c r="B864" s="255" t="s">
        <v>51</v>
      </c>
      <c r="C864" s="257"/>
      <c r="D864" s="203" t="s">
        <v>985</v>
      </c>
      <c r="E864" s="203" t="s">
        <v>985</v>
      </c>
      <c r="F864" s="257" t="s">
        <v>987</v>
      </c>
      <c r="G864" s="207"/>
      <c r="H864" s="197" t="s">
        <v>35</v>
      </c>
      <c r="I864" s="198"/>
    </row>
    <row r="865" spans="1:9" x14ac:dyDescent="0.25">
      <c r="A865" s="199" t="s">
        <v>935</v>
      </c>
      <c r="B865" s="255" t="s">
        <v>986</v>
      </c>
      <c r="C865" s="283" t="s">
        <v>986</v>
      </c>
      <c r="D865" s="203" t="s">
        <v>985</v>
      </c>
      <c r="E865" s="203" t="s">
        <v>985</v>
      </c>
      <c r="F865" s="257" t="s">
        <v>985</v>
      </c>
      <c r="G865" s="207"/>
      <c r="H865" s="197" t="s">
        <v>936</v>
      </c>
      <c r="I865" s="198"/>
    </row>
    <row r="866" spans="1:9" x14ac:dyDescent="0.25">
      <c r="A866" s="199" t="s">
        <v>937</v>
      </c>
      <c r="B866" s="261" t="s">
        <v>51</v>
      </c>
      <c r="C866" s="263" t="s">
        <v>983</v>
      </c>
      <c r="D866" s="260" t="s">
        <v>984</v>
      </c>
      <c r="E866" s="203" t="s">
        <v>985</v>
      </c>
      <c r="F866" s="205" t="s">
        <v>985</v>
      </c>
      <c r="G866" s="207"/>
      <c r="H866" s="197" t="s">
        <v>121</v>
      </c>
      <c r="I866" s="198"/>
    </row>
    <row r="867" spans="1:9" x14ac:dyDescent="0.25">
      <c r="A867" s="236" t="s">
        <v>938</v>
      </c>
      <c r="B867" s="265" t="s">
        <v>62</v>
      </c>
      <c r="C867" s="266" t="s">
        <v>62</v>
      </c>
      <c r="D867" s="203" t="s">
        <v>985</v>
      </c>
      <c r="E867" s="203" t="s">
        <v>985</v>
      </c>
      <c r="F867" s="205" t="s">
        <v>985</v>
      </c>
      <c r="G867" s="207"/>
      <c r="H867" s="197" t="s">
        <v>33</v>
      </c>
      <c r="I867" s="198"/>
    </row>
    <row r="868" spans="1:9" x14ac:dyDescent="0.25">
      <c r="A868" s="236" t="s">
        <v>939</v>
      </c>
      <c r="B868" s="234" t="s">
        <v>62</v>
      </c>
      <c r="C868" s="237" t="s">
        <v>62</v>
      </c>
      <c r="D868" s="203" t="s">
        <v>985</v>
      </c>
      <c r="E868" s="203" t="s">
        <v>985</v>
      </c>
      <c r="F868" s="205" t="s">
        <v>985</v>
      </c>
      <c r="G868" s="197"/>
      <c r="H868" s="197" t="s">
        <v>27</v>
      </c>
      <c r="I868" s="198"/>
    </row>
    <row r="869" spans="1:9" x14ac:dyDescent="0.25">
      <c r="A869" s="199" t="s">
        <v>940</v>
      </c>
      <c r="B869" s="302"/>
      <c r="C869" s="262" t="s">
        <v>983</v>
      </c>
      <c r="D869" s="203" t="s">
        <v>985</v>
      </c>
      <c r="E869" s="203" t="s">
        <v>985</v>
      </c>
      <c r="F869" s="205" t="s">
        <v>985</v>
      </c>
      <c r="G869" s="197"/>
      <c r="H869" s="197" t="s">
        <v>95</v>
      </c>
      <c r="I869" s="198"/>
    </row>
    <row r="870" spans="1:9" x14ac:dyDescent="0.25">
      <c r="A870" s="236" t="s">
        <v>941</v>
      </c>
      <c r="B870" s="234" t="s">
        <v>105</v>
      </c>
      <c r="C870" s="237" t="s">
        <v>105</v>
      </c>
      <c r="D870" s="203" t="s">
        <v>985</v>
      </c>
      <c r="E870" s="203" t="s">
        <v>985</v>
      </c>
      <c r="F870" s="205" t="s">
        <v>985</v>
      </c>
      <c r="G870" s="207"/>
      <c r="H870" s="197" t="s">
        <v>28</v>
      </c>
      <c r="I870" s="198"/>
    </row>
    <row r="871" spans="1:9" x14ac:dyDescent="0.25">
      <c r="A871" s="199" t="s">
        <v>942</v>
      </c>
      <c r="B871" s="269" t="s">
        <v>51</v>
      </c>
      <c r="C871" s="313" t="s">
        <v>1073</v>
      </c>
      <c r="D871" s="203" t="s">
        <v>985</v>
      </c>
      <c r="E871" s="203" t="s">
        <v>985</v>
      </c>
      <c r="F871" s="205" t="s">
        <v>985</v>
      </c>
      <c r="G871" s="207"/>
      <c r="H871" s="197" t="s">
        <v>943</v>
      </c>
      <c r="I871" s="198"/>
    </row>
    <row r="872" spans="1:9" x14ac:dyDescent="0.25">
      <c r="A872" s="236" t="s">
        <v>944</v>
      </c>
      <c r="B872" s="265" t="s">
        <v>62</v>
      </c>
      <c r="C872" s="266" t="s">
        <v>62</v>
      </c>
      <c r="D872" s="203" t="s">
        <v>985</v>
      </c>
      <c r="E872" s="203" t="s">
        <v>985</v>
      </c>
      <c r="F872" s="205" t="s">
        <v>985</v>
      </c>
      <c r="G872" s="207"/>
      <c r="H872" s="197" t="s">
        <v>36</v>
      </c>
      <c r="I872" s="198"/>
    </row>
    <row r="873" spans="1:9" x14ac:dyDescent="0.25">
      <c r="A873" s="199" t="s">
        <v>945</v>
      </c>
      <c r="B873" s="250" t="s">
        <v>946</v>
      </c>
      <c r="C873" s="242" t="s">
        <v>946</v>
      </c>
      <c r="D873" s="203" t="s">
        <v>985</v>
      </c>
      <c r="E873" s="203" t="s">
        <v>985</v>
      </c>
      <c r="F873" s="205" t="s">
        <v>985</v>
      </c>
      <c r="G873" s="207" t="s">
        <v>985</v>
      </c>
      <c r="H873" s="197" t="s">
        <v>27</v>
      </c>
      <c r="I873" s="198"/>
    </row>
    <row r="874" spans="1:9" x14ac:dyDescent="0.25">
      <c r="A874" s="338" t="s">
        <v>947</v>
      </c>
      <c r="B874" s="346" t="s">
        <v>946</v>
      </c>
      <c r="C874" s="349" t="s">
        <v>946</v>
      </c>
      <c r="D874" s="308" t="s">
        <v>985</v>
      </c>
      <c r="E874" s="308" t="s">
        <v>985</v>
      </c>
      <c r="F874" s="192" t="s">
        <v>985</v>
      </c>
      <c r="G874" s="207" t="s">
        <v>985</v>
      </c>
      <c r="H874" s="197" t="s">
        <v>27</v>
      </c>
      <c r="I874" s="198"/>
    </row>
    <row r="875" spans="1:9" x14ac:dyDescent="0.25">
      <c r="A875" s="338" t="s">
        <v>948</v>
      </c>
      <c r="B875" s="342" t="s">
        <v>986</v>
      </c>
      <c r="C875" s="257"/>
      <c r="D875" s="350" t="s">
        <v>52</v>
      </c>
      <c r="E875" s="350" t="s">
        <v>52</v>
      </c>
      <c r="F875" s="350" t="s">
        <v>52</v>
      </c>
      <c r="G875" s="173"/>
      <c r="H875" s="173" t="s">
        <v>64</v>
      </c>
      <c r="I875" s="173"/>
    </row>
    <row r="876" spans="1:9" x14ac:dyDescent="0.25">
      <c r="A876" s="338" t="s">
        <v>949</v>
      </c>
      <c r="B876" s="344" t="s">
        <v>57</v>
      </c>
      <c r="C876" s="347" t="s">
        <v>983</v>
      </c>
      <c r="D876" s="308" t="s">
        <v>985</v>
      </c>
      <c r="E876" s="308" t="s">
        <v>985</v>
      </c>
      <c r="F876" s="308" t="s">
        <v>985</v>
      </c>
      <c r="G876" s="173"/>
      <c r="H876" s="173" t="s">
        <v>136</v>
      </c>
      <c r="I876" s="173"/>
    </row>
    <row r="877" spans="1:9" x14ac:dyDescent="0.25">
      <c r="A877" s="291" t="s">
        <v>950</v>
      </c>
      <c r="B877" s="176" t="s">
        <v>62</v>
      </c>
      <c r="C877" s="348" t="s">
        <v>62</v>
      </c>
      <c r="D877" s="308" t="s">
        <v>985</v>
      </c>
      <c r="E877" s="308" t="s">
        <v>985</v>
      </c>
      <c r="F877" s="308" t="s">
        <v>985</v>
      </c>
      <c r="G877" s="173"/>
      <c r="H877" s="173" t="s">
        <v>30</v>
      </c>
      <c r="I877" s="173"/>
    </row>
    <row r="878" spans="1:9" x14ac:dyDescent="0.25">
      <c r="A878" s="291" t="s">
        <v>951</v>
      </c>
      <c r="B878" s="176" t="s">
        <v>62</v>
      </c>
      <c r="C878" s="348" t="s">
        <v>62</v>
      </c>
      <c r="D878" s="308" t="s">
        <v>985</v>
      </c>
      <c r="E878" s="308" t="s">
        <v>985</v>
      </c>
      <c r="F878" s="308" t="s">
        <v>985</v>
      </c>
      <c r="G878" s="173"/>
      <c r="H878" s="173" t="s">
        <v>30</v>
      </c>
      <c r="I878" s="173"/>
    </row>
    <row r="879" spans="1:9" x14ac:dyDescent="0.25">
      <c r="A879" s="236" t="s">
        <v>952</v>
      </c>
      <c r="B879" s="266" t="s">
        <v>62</v>
      </c>
      <c r="C879" s="348" t="s">
        <v>62</v>
      </c>
      <c r="D879" s="308" t="s">
        <v>985</v>
      </c>
      <c r="E879" s="308" t="s">
        <v>985</v>
      </c>
      <c r="F879" s="308" t="s">
        <v>985</v>
      </c>
      <c r="G879" s="173"/>
      <c r="H879" s="173" t="s">
        <v>30</v>
      </c>
      <c r="I879" s="173"/>
    </row>
    <row r="880" spans="1:9" x14ac:dyDescent="0.25">
      <c r="A880" s="333" t="s">
        <v>1314</v>
      </c>
      <c r="B880" s="255" t="s">
        <v>51</v>
      </c>
      <c r="C880" s="257"/>
      <c r="D880" s="203" t="s">
        <v>985</v>
      </c>
      <c r="E880" s="203" t="s">
        <v>985</v>
      </c>
      <c r="F880" s="257" t="s">
        <v>987</v>
      </c>
      <c r="G880" s="334"/>
      <c r="H880" s="335" t="s">
        <v>136</v>
      </c>
      <c r="I880" s="336"/>
    </row>
  </sheetData>
  <phoneticPr fontId="60" type="noConversion"/>
  <conditionalFormatting sqref="A2:A1048576">
    <cfRule type="duplicateValues" dxfId="106" priority="5"/>
  </conditionalFormatting>
  <conditionalFormatting sqref="I92:I93">
    <cfRule type="duplicateValues" dxfId="105" priority="4"/>
  </conditionalFormatting>
  <conditionalFormatting sqref="I127:I128">
    <cfRule type="duplicateValues" dxfId="104" priority="3"/>
  </conditionalFormatting>
  <conditionalFormatting sqref="I187">
    <cfRule type="duplicateValues" dxfId="103" priority="2"/>
  </conditionalFormatting>
  <conditionalFormatting sqref="A1:A1048576">
    <cfRule type="duplicateValues" dxfId="102" priority="1"/>
  </conditionalFormatting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1:A34"/>
  <sheetViews>
    <sheetView workbookViewId="0">
      <selection activeCell="H21" sqref="H21"/>
    </sheetView>
  </sheetViews>
  <sheetFormatPr defaultRowHeight="15" x14ac:dyDescent="0.25"/>
  <cols>
    <col min="1" max="1" width="26.42578125" bestFit="1" customWidth="1"/>
  </cols>
  <sheetData>
    <row r="1" spans="1:1" x14ac:dyDescent="0.25">
      <c r="A1" t="s">
        <v>1177</v>
      </c>
    </row>
    <row r="2" spans="1:1" x14ac:dyDescent="0.25">
      <c r="A2" s="141" t="s">
        <v>125</v>
      </c>
    </row>
    <row r="3" spans="1:1" x14ac:dyDescent="0.25">
      <c r="A3" s="113" t="s">
        <v>83</v>
      </c>
    </row>
    <row r="4" spans="1:1" x14ac:dyDescent="0.25">
      <c r="A4" s="141" t="s">
        <v>95</v>
      </c>
    </row>
    <row r="5" spans="1:1" x14ac:dyDescent="0.25">
      <c r="A5" s="141" t="s">
        <v>136</v>
      </c>
    </row>
    <row r="6" spans="1:1" x14ac:dyDescent="0.25">
      <c r="A6" s="141" t="s">
        <v>659</v>
      </c>
    </row>
    <row r="7" spans="1:1" x14ac:dyDescent="0.25">
      <c r="A7" s="141" t="s">
        <v>769</v>
      </c>
    </row>
    <row r="8" spans="1:1" x14ac:dyDescent="0.25">
      <c r="A8" s="141" t="s">
        <v>92</v>
      </c>
    </row>
    <row r="9" spans="1:1" x14ac:dyDescent="0.25">
      <c r="A9" s="141" t="s">
        <v>78</v>
      </c>
    </row>
    <row r="10" spans="1:1" x14ac:dyDescent="0.25">
      <c r="A10" s="141" t="s">
        <v>226</v>
      </c>
    </row>
    <row r="11" spans="1:1" x14ac:dyDescent="0.25">
      <c r="A11" s="141" t="s">
        <v>123</v>
      </c>
    </row>
    <row r="12" spans="1:1" x14ac:dyDescent="0.25">
      <c r="A12" s="141" t="s">
        <v>121</v>
      </c>
    </row>
    <row r="13" spans="1:1" x14ac:dyDescent="0.25">
      <c r="A13" s="113" t="s">
        <v>230</v>
      </c>
    </row>
    <row r="14" spans="1:1" x14ac:dyDescent="0.25">
      <c r="A14" s="141" t="s">
        <v>168</v>
      </c>
    </row>
    <row r="15" spans="1:1" x14ac:dyDescent="0.25">
      <c r="A15" s="61" t="s">
        <v>134</v>
      </c>
    </row>
    <row r="16" spans="1:1" x14ac:dyDescent="0.25">
      <c r="A16" s="61" t="s">
        <v>27</v>
      </c>
    </row>
    <row r="17" spans="1:1" x14ac:dyDescent="0.25">
      <c r="A17" s="159" t="s">
        <v>28</v>
      </c>
    </row>
    <row r="18" spans="1:1" x14ac:dyDescent="0.25">
      <c r="A18" s="159" t="s">
        <v>29</v>
      </c>
    </row>
    <row r="19" spans="1:1" x14ac:dyDescent="0.25">
      <c r="A19" s="145" t="s">
        <v>546</v>
      </c>
    </row>
    <row r="20" spans="1:1" x14ac:dyDescent="0.25">
      <c r="A20" s="160" t="s">
        <v>685</v>
      </c>
    </row>
    <row r="21" spans="1:1" x14ac:dyDescent="0.25">
      <c r="A21" s="154" t="s">
        <v>30</v>
      </c>
    </row>
    <row r="22" spans="1:1" x14ac:dyDescent="0.25">
      <c r="A22" s="154" t="s">
        <v>31</v>
      </c>
    </row>
    <row r="23" spans="1:1" x14ac:dyDescent="0.25">
      <c r="A23" s="154" t="s">
        <v>32</v>
      </c>
    </row>
    <row r="24" spans="1:1" x14ac:dyDescent="0.25">
      <c r="A24" s="154" t="s">
        <v>33</v>
      </c>
    </row>
    <row r="25" spans="1:1" x14ac:dyDescent="0.25">
      <c r="A25" s="154" t="s">
        <v>34</v>
      </c>
    </row>
    <row r="26" spans="1:1" x14ac:dyDescent="0.25">
      <c r="A26" s="141" t="s">
        <v>35</v>
      </c>
    </row>
    <row r="27" spans="1:1" x14ac:dyDescent="0.25">
      <c r="A27" s="154" t="s">
        <v>36</v>
      </c>
    </row>
    <row r="28" spans="1:1" x14ac:dyDescent="0.25">
      <c r="A28" s="146" t="s">
        <v>53</v>
      </c>
    </row>
    <row r="29" spans="1:1" x14ac:dyDescent="0.25">
      <c r="A29" s="145" t="s">
        <v>80</v>
      </c>
    </row>
    <row r="30" spans="1:1" x14ac:dyDescent="0.25">
      <c r="A30" s="141" t="s">
        <v>37</v>
      </c>
    </row>
    <row r="31" spans="1:1" x14ac:dyDescent="0.25">
      <c r="A31" s="154" t="s">
        <v>38</v>
      </c>
    </row>
    <row r="32" spans="1:1" x14ac:dyDescent="0.25">
      <c r="A32" s="145" t="s">
        <v>75</v>
      </c>
    </row>
    <row r="33" spans="1:1" x14ac:dyDescent="0.25">
      <c r="A33" s="145" t="s">
        <v>64</v>
      </c>
    </row>
    <row r="34" spans="1:1" x14ac:dyDescent="0.25">
      <c r="A34" s="141" t="s">
        <v>936</v>
      </c>
    </row>
  </sheetData>
  <sheetProtection password="E608" sheet="1" objects="1" scenarios="1"/>
  <autoFilter ref="A1:A34" xr:uid="{00000000-0009-0000-0000-00000B000000}">
    <sortState xmlns:xlrd2="http://schemas.microsoft.com/office/spreadsheetml/2017/richdata2" ref="A2:A34">
      <sortCondition ref="A1:A35"/>
    </sortState>
  </autoFilter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S43"/>
  <sheetViews>
    <sheetView workbookViewId="0">
      <selection activeCell="T1" sqref="T1:T1048576"/>
    </sheetView>
  </sheetViews>
  <sheetFormatPr defaultRowHeight="15" x14ac:dyDescent="0.25"/>
  <sheetData>
    <row r="1" spans="1:19" s="139" customFormat="1" ht="15" customHeight="1" x14ac:dyDescent="0.25">
      <c r="A1" s="355" t="s">
        <v>46</v>
      </c>
      <c r="B1" s="356" t="s">
        <v>979</v>
      </c>
      <c r="C1" s="357" t="s">
        <v>1074</v>
      </c>
      <c r="D1" s="357" t="s">
        <v>1075</v>
      </c>
      <c r="E1" s="357" t="s">
        <v>1076</v>
      </c>
      <c r="F1" s="357" t="s">
        <v>1077</v>
      </c>
      <c r="G1" s="357" t="s">
        <v>1078</v>
      </c>
      <c r="H1" s="357" t="s">
        <v>1079</v>
      </c>
      <c r="I1" s="357" t="s">
        <v>1080</v>
      </c>
      <c r="J1" s="357" t="s">
        <v>1081</v>
      </c>
      <c r="K1" s="357" t="s">
        <v>1082</v>
      </c>
      <c r="L1" s="357" t="s">
        <v>1083</v>
      </c>
      <c r="M1" s="357" t="s">
        <v>1084</v>
      </c>
      <c r="N1" s="357" t="s">
        <v>1085</v>
      </c>
      <c r="O1" s="356" t="s">
        <v>1086</v>
      </c>
      <c r="P1" s="358" t="s">
        <v>48</v>
      </c>
      <c r="Q1" s="19" t="s">
        <v>49</v>
      </c>
      <c r="R1" s="139" t="e">
        <v>#N/A</v>
      </c>
      <c r="S1" t="e">
        <v>#N/A</v>
      </c>
    </row>
    <row r="2" spans="1:19" s="21" customFormat="1" ht="15" customHeight="1" x14ac:dyDescent="0.25">
      <c r="A2" s="194" t="s">
        <v>50</v>
      </c>
      <c r="B2" s="29" t="s">
        <v>983</v>
      </c>
      <c r="C2" s="140">
        <v>3</v>
      </c>
      <c r="D2" s="140">
        <v>3</v>
      </c>
      <c r="E2" s="140">
        <v>3</v>
      </c>
      <c r="F2" s="140">
        <v>3</v>
      </c>
      <c r="G2" s="140">
        <v>3</v>
      </c>
      <c r="H2" s="140" t="e">
        <v>#N/A</v>
      </c>
      <c r="I2" s="140" t="e">
        <v>#N/A</v>
      </c>
      <c r="J2" s="174" t="s">
        <v>52</v>
      </c>
      <c r="K2" s="174" t="s">
        <v>52</v>
      </c>
      <c r="L2" s="174" t="s">
        <v>52</v>
      </c>
      <c r="M2" s="174" t="s">
        <v>52</v>
      </c>
      <c r="N2" s="140"/>
      <c r="O2" s="196" t="s">
        <v>53</v>
      </c>
      <c r="P2" s="164" t="s">
        <v>54</v>
      </c>
      <c r="Q2" s="191" t="s">
        <v>1087</v>
      </c>
      <c r="R2" s="139" t="e">
        <v>#N/A</v>
      </c>
      <c r="S2" t="e">
        <v>#N/A</v>
      </c>
    </row>
    <row r="3" spans="1:19" ht="15" customHeight="1" x14ac:dyDescent="0.25">
      <c r="A3" s="177" t="s">
        <v>74</v>
      </c>
      <c r="B3" s="137" t="s">
        <v>989</v>
      </c>
      <c r="C3" s="140">
        <v>3</v>
      </c>
      <c r="D3" s="140">
        <v>3</v>
      </c>
      <c r="E3" s="140">
        <v>4</v>
      </c>
      <c r="F3" s="140">
        <v>4</v>
      </c>
      <c r="G3" s="140">
        <v>3</v>
      </c>
      <c r="H3" s="140">
        <v>2</v>
      </c>
      <c r="I3" s="140" t="e">
        <v>#N/A</v>
      </c>
      <c r="J3" s="188" t="s">
        <v>52</v>
      </c>
      <c r="K3" s="188" t="s">
        <v>52</v>
      </c>
      <c r="L3" s="174" t="s">
        <v>52</v>
      </c>
      <c r="M3" s="174" t="s">
        <v>52</v>
      </c>
      <c r="N3" s="140"/>
      <c r="O3" s="145" t="s">
        <v>75</v>
      </c>
      <c r="P3" s="142" t="s">
        <v>76</v>
      </c>
      <c r="Q3" s="191" t="s">
        <v>1087</v>
      </c>
      <c r="R3" s="139" t="e">
        <v>#N/A</v>
      </c>
      <c r="S3" t="e">
        <v>#N/A</v>
      </c>
    </row>
    <row r="4" spans="1:19" ht="15" customHeight="1" x14ac:dyDescent="0.25">
      <c r="A4" s="137" t="s">
        <v>88</v>
      </c>
      <c r="B4" s="143" t="s">
        <v>989</v>
      </c>
      <c r="C4" s="140">
        <v>3</v>
      </c>
      <c r="D4" s="140">
        <v>3</v>
      </c>
      <c r="E4" s="140">
        <v>3</v>
      </c>
      <c r="F4" s="140">
        <v>3</v>
      </c>
      <c r="G4" s="140">
        <v>2</v>
      </c>
      <c r="H4" s="140">
        <v>3</v>
      </c>
      <c r="I4" s="140" t="e">
        <v>#N/A</v>
      </c>
      <c r="J4" s="188" t="s">
        <v>52</v>
      </c>
      <c r="K4" s="188" t="s">
        <v>52</v>
      </c>
      <c r="L4" s="174" t="s">
        <v>52</v>
      </c>
      <c r="M4" s="174" t="s">
        <v>52</v>
      </c>
      <c r="N4" s="140"/>
      <c r="O4" s="145" t="s">
        <v>75</v>
      </c>
      <c r="P4" s="172" t="s">
        <v>90</v>
      </c>
      <c r="Q4" s="191" t="s">
        <v>1087</v>
      </c>
      <c r="R4" s="139" t="e">
        <v>#N/A</v>
      </c>
      <c r="S4" t="e">
        <v>#N/A</v>
      </c>
    </row>
    <row r="5" spans="1:19" ht="15" customHeight="1" x14ac:dyDescent="0.25">
      <c r="A5" s="177" t="s">
        <v>990</v>
      </c>
      <c r="B5" s="29" t="s">
        <v>51</v>
      </c>
      <c r="C5" s="140">
        <v>3</v>
      </c>
      <c r="D5" s="140" t="e">
        <v>#N/A</v>
      </c>
      <c r="E5" s="140" t="e">
        <v>#N/A</v>
      </c>
      <c r="F5" s="140" t="e">
        <v>#N/A</v>
      </c>
      <c r="G5" s="140">
        <v>3</v>
      </c>
      <c r="H5" s="140" t="e">
        <v>#N/A</v>
      </c>
      <c r="I5" s="140" t="e">
        <v>#N/A</v>
      </c>
      <c r="J5" s="188" t="s">
        <v>52</v>
      </c>
      <c r="K5" s="188" t="s">
        <v>52</v>
      </c>
      <c r="L5" s="174" t="s">
        <v>52</v>
      </c>
      <c r="M5" s="174" t="s">
        <v>52</v>
      </c>
      <c r="N5" s="140"/>
      <c r="O5" s="147" t="s">
        <v>80</v>
      </c>
      <c r="P5" s="172" t="s">
        <v>114</v>
      </c>
      <c r="Q5" s="191" t="s">
        <v>1087</v>
      </c>
      <c r="R5" s="139" t="e">
        <v>#N/A</v>
      </c>
      <c r="S5" t="e">
        <v>#N/A</v>
      </c>
    </row>
    <row r="6" spans="1:19" ht="15" customHeight="1" x14ac:dyDescent="0.25">
      <c r="A6" s="177" t="s">
        <v>994</v>
      </c>
      <c r="B6" s="29" t="s">
        <v>983</v>
      </c>
      <c r="C6" s="140">
        <v>3</v>
      </c>
      <c r="D6" s="140">
        <v>3</v>
      </c>
      <c r="E6" s="140">
        <v>3</v>
      </c>
      <c r="F6" s="140">
        <v>3</v>
      </c>
      <c r="G6" s="140">
        <v>3</v>
      </c>
      <c r="H6" s="140" t="e">
        <v>#N/A</v>
      </c>
      <c r="I6" s="140" t="e">
        <v>#N/A</v>
      </c>
      <c r="J6" s="188" t="s">
        <v>52</v>
      </c>
      <c r="K6" s="188" t="s">
        <v>52</v>
      </c>
      <c r="L6" s="174" t="s">
        <v>52</v>
      </c>
      <c r="M6" s="174" t="s">
        <v>52</v>
      </c>
      <c r="N6" s="140"/>
      <c r="O6" s="353" t="s">
        <v>80</v>
      </c>
      <c r="P6" s="142" t="s">
        <v>140</v>
      </c>
      <c r="Q6" s="191" t="s">
        <v>1087</v>
      </c>
      <c r="R6" s="139" t="e">
        <v>#N/A</v>
      </c>
      <c r="S6" t="e">
        <v>#N/A</v>
      </c>
    </row>
    <row r="7" spans="1:19" ht="15" customHeight="1" x14ac:dyDescent="0.25">
      <c r="A7" s="177" t="s">
        <v>997</v>
      </c>
      <c r="B7" s="29"/>
      <c r="C7" s="140">
        <v>3</v>
      </c>
      <c r="D7" s="140">
        <v>3</v>
      </c>
      <c r="E7" s="140">
        <v>3</v>
      </c>
      <c r="F7" s="140">
        <v>3</v>
      </c>
      <c r="G7" s="140">
        <v>3</v>
      </c>
      <c r="H7" s="140" t="e">
        <v>#N/A</v>
      </c>
      <c r="I7" s="140" t="e">
        <v>#N/A</v>
      </c>
      <c r="J7" s="188" t="s">
        <v>52</v>
      </c>
      <c r="K7" s="188" t="s">
        <v>52</v>
      </c>
      <c r="L7" s="174" t="s">
        <v>52</v>
      </c>
      <c r="M7" s="174" t="s">
        <v>52</v>
      </c>
      <c r="N7" s="140"/>
      <c r="O7" s="146" t="s">
        <v>53</v>
      </c>
      <c r="P7" s="138" t="s">
        <v>162</v>
      </c>
      <c r="Q7" s="191" t="s">
        <v>1087</v>
      </c>
      <c r="R7" s="139" t="e">
        <v>#N/A</v>
      </c>
      <c r="S7" t="e">
        <v>#N/A</v>
      </c>
    </row>
    <row r="8" spans="1:19" ht="15" customHeight="1" x14ac:dyDescent="0.25">
      <c r="A8" s="178" t="s">
        <v>999</v>
      </c>
      <c r="B8" s="29" t="s">
        <v>983</v>
      </c>
      <c r="C8" s="140">
        <v>4</v>
      </c>
      <c r="D8" s="140" t="e">
        <v>#N/A</v>
      </c>
      <c r="E8" s="140" t="e">
        <v>#N/A</v>
      </c>
      <c r="F8" s="140" t="e">
        <v>#N/A</v>
      </c>
      <c r="G8" s="140" t="e">
        <v>#N/A</v>
      </c>
      <c r="H8" s="140" t="e">
        <v>#N/A</v>
      </c>
      <c r="I8" s="140" t="e">
        <v>#N/A</v>
      </c>
      <c r="J8" s="188" t="s">
        <v>52</v>
      </c>
      <c r="K8" s="188" t="s">
        <v>52</v>
      </c>
      <c r="L8" s="174" t="s">
        <v>52</v>
      </c>
      <c r="M8" s="174" t="s">
        <v>52</v>
      </c>
      <c r="N8" s="140"/>
      <c r="O8" s="147" t="s">
        <v>80</v>
      </c>
      <c r="P8" s="162" t="s">
        <v>203</v>
      </c>
      <c r="Q8" s="191" t="s">
        <v>1087</v>
      </c>
      <c r="R8" s="139" t="e">
        <v>#N/A</v>
      </c>
      <c r="S8" t="e">
        <v>#N/A</v>
      </c>
    </row>
    <row r="9" spans="1:19" ht="15" customHeight="1" x14ac:dyDescent="0.25">
      <c r="A9" s="178" t="s">
        <v>1005</v>
      </c>
      <c r="B9" s="29" t="s">
        <v>51</v>
      </c>
      <c r="C9" s="140">
        <v>3</v>
      </c>
      <c r="D9" s="140">
        <v>3</v>
      </c>
      <c r="E9" s="140">
        <v>3</v>
      </c>
      <c r="F9" s="140">
        <v>3</v>
      </c>
      <c r="G9" s="140">
        <v>3</v>
      </c>
      <c r="H9" s="140" t="e">
        <v>#N/A</v>
      </c>
      <c r="I9" s="140" t="e">
        <v>#N/A</v>
      </c>
      <c r="J9" s="188" t="s">
        <v>52</v>
      </c>
      <c r="K9" s="188" t="s">
        <v>52</v>
      </c>
      <c r="L9" s="174" t="s">
        <v>52</v>
      </c>
      <c r="M9" s="174" t="s">
        <v>52</v>
      </c>
      <c r="N9" s="140"/>
      <c r="O9" s="147" t="s">
        <v>80</v>
      </c>
      <c r="P9" s="142" t="s">
        <v>290</v>
      </c>
      <c r="Q9" s="191" t="s">
        <v>1087</v>
      </c>
      <c r="R9" s="139" t="e">
        <v>#N/A</v>
      </c>
      <c r="S9" t="e">
        <v>#N/A</v>
      </c>
    </row>
    <row r="10" spans="1:19" s="21" customFormat="1" ht="15" customHeight="1" x14ac:dyDescent="0.25">
      <c r="A10" s="178" t="s">
        <v>1006</v>
      </c>
      <c r="B10" s="29" t="s">
        <v>989</v>
      </c>
      <c r="C10" s="140">
        <v>3</v>
      </c>
      <c r="D10" s="140">
        <v>3</v>
      </c>
      <c r="E10" s="140">
        <v>3</v>
      </c>
      <c r="F10" s="140">
        <v>1</v>
      </c>
      <c r="G10" s="140">
        <v>1</v>
      </c>
      <c r="H10" s="140" t="e">
        <v>#N/A</v>
      </c>
      <c r="I10" s="140">
        <v>3</v>
      </c>
      <c r="J10" s="189">
        <v>4</v>
      </c>
      <c r="K10" s="174" t="s">
        <v>52</v>
      </c>
      <c r="L10" s="174" t="s">
        <v>52</v>
      </c>
      <c r="M10" s="174" t="s">
        <v>52</v>
      </c>
      <c r="N10" s="140"/>
      <c r="O10" s="145" t="s">
        <v>75</v>
      </c>
      <c r="P10" s="142" t="s">
        <v>76</v>
      </c>
      <c r="Q10" s="191" t="s">
        <v>1087</v>
      </c>
      <c r="R10" s="139" t="e">
        <v>#N/A</v>
      </c>
      <c r="S10" t="e">
        <v>#N/A</v>
      </c>
    </row>
    <row r="11" spans="1:19" ht="15" customHeight="1" x14ac:dyDescent="0.25">
      <c r="A11" s="178" t="s">
        <v>1007</v>
      </c>
      <c r="B11" s="29" t="s">
        <v>1008</v>
      </c>
      <c r="C11" s="140">
        <v>4</v>
      </c>
      <c r="D11" s="140">
        <v>3</v>
      </c>
      <c r="E11" s="140">
        <v>4</v>
      </c>
      <c r="F11" s="140" t="e">
        <v>#N/A</v>
      </c>
      <c r="G11" s="140" t="e">
        <v>#N/A</v>
      </c>
      <c r="H11" s="140" t="e">
        <v>#N/A</v>
      </c>
      <c r="I11" s="140" t="e">
        <v>#N/A</v>
      </c>
      <c r="J11" s="188" t="s">
        <v>52</v>
      </c>
      <c r="K11" s="188" t="s">
        <v>52</v>
      </c>
      <c r="L11" s="174" t="s">
        <v>52</v>
      </c>
      <c r="M11" s="174" t="s">
        <v>52</v>
      </c>
      <c r="N11" s="140"/>
      <c r="O11" s="146" t="s">
        <v>53</v>
      </c>
      <c r="P11" s="142" t="s">
        <v>276</v>
      </c>
      <c r="Q11" s="191" t="s">
        <v>1087</v>
      </c>
      <c r="R11" s="139" t="e">
        <v>#N/A</v>
      </c>
      <c r="S11" t="e">
        <v>#N/A</v>
      </c>
    </row>
    <row r="12" spans="1:19" ht="15" customHeight="1" x14ac:dyDescent="0.25">
      <c r="A12" s="178" t="s">
        <v>1010</v>
      </c>
      <c r="B12" s="27" t="s">
        <v>983</v>
      </c>
      <c r="C12" s="140">
        <v>3</v>
      </c>
      <c r="D12" s="140" t="e">
        <v>#N/A</v>
      </c>
      <c r="E12" s="140" t="e">
        <v>#N/A</v>
      </c>
      <c r="F12" s="140" t="e">
        <v>#N/A</v>
      </c>
      <c r="G12" s="140" t="e">
        <v>#N/A</v>
      </c>
      <c r="H12" s="140" t="e">
        <v>#N/A</v>
      </c>
      <c r="I12" s="140" t="e">
        <v>#N/A</v>
      </c>
      <c r="J12" s="188" t="s">
        <v>52</v>
      </c>
      <c r="K12" s="188" t="s">
        <v>52</v>
      </c>
      <c r="L12" s="174" t="s">
        <v>52</v>
      </c>
      <c r="M12" s="174" t="s">
        <v>52</v>
      </c>
      <c r="N12" s="140"/>
      <c r="O12" s="147" t="s">
        <v>80</v>
      </c>
      <c r="P12" s="142" t="s">
        <v>203</v>
      </c>
      <c r="Q12" s="191" t="s">
        <v>1087</v>
      </c>
      <c r="R12" s="139" t="e">
        <v>#N/A</v>
      </c>
      <c r="S12" t="e">
        <v>#N/A</v>
      </c>
    </row>
    <row r="13" spans="1:19" ht="15" customHeight="1" x14ac:dyDescent="0.25">
      <c r="A13" s="178" t="s">
        <v>1012</v>
      </c>
      <c r="B13" s="183" t="s">
        <v>983</v>
      </c>
      <c r="C13" s="140">
        <v>4</v>
      </c>
      <c r="D13" s="140">
        <v>4</v>
      </c>
      <c r="E13" s="140">
        <v>4</v>
      </c>
      <c r="F13" s="140">
        <v>4</v>
      </c>
      <c r="G13" s="140" t="e">
        <v>#N/A</v>
      </c>
      <c r="H13" s="140" t="e">
        <v>#N/A</v>
      </c>
      <c r="I13" s="140" t="e">
        <v>#N/A</v>
      </c>
      <c r="J13" s="188" t="s">
        <v>52</v>
      </c>
      <c r="K13" s="188" t="s">
        <v>52</v>
      </c>
      <c r="L13" s="174" t="s">
        <v>52</v>
      </c>
      <c r="M13" s="174" t="s">
        <v>52</v>
      </c>
      <c r="N13" s="140"/>
      <c r="O13" s="146" t="s">
        <v>53</v>
      </c>
      <c r="P13" s="142" t="s">
        <v>321</v>
      </c>
      <c r="Q13" s="191" t="s">
        <v>1087</v>
      </c>
      <c r="R13" s="139" t="e">
        <v>#N/A</v>
      </c>
      <c r="S13" t="e">
        <v>#N/A</v>
      </c>
    </row>
    <row r="14" spans="1:19" ht="15" customHeight="1" x14ac:dyDescent="0.25">
      <c r="A14" s="178" t="s">
        <v>354</v>
      </c>
      <c r="B14" s="29" t="s">
        <v>983</v>
      </c>
      <c r="C14" s="140">
        <v>3</v>
      </c>
      <c r="D14" s="140">
        <v>3</v>
      </c>
      <c r="E14" s="140">
        <v>3</v>
      </c>
      <c r="F14" s="140">
        <v>4</v>
      </c>
      <c r="G14" s="140">
        <v>4</v>
      </c>
      <c r="H14" s="140" t="e">
        <v>#N/A</v>
      </c>
      <c r="I14" s="140">
        <v>3</v>
      </c>
      <c r="J14" s="189">
        <v>3</v>
      </c>
      <c r="K14" s="174" t="s">
        <v>52</v>
      </c>
      <c r="L14" s="174" t="s">
        <v>52</v>
      </c>
      <c r="M14" s="174" t="s">
        <v>52</v>
      </c>
      <c r="N14" s="140"/>
      <c r="O14" s="147" t="s">
        <v>80</v>
      </c>
      <c r="P14" s="142" t="s">
        <v>1096</v>
      </c>
      <c r="Q14" s="191" t="s">
        <v>1087</v>
      </c>
      <c r="R14" s="139" t="e">
        <v>#N/A</v>
      </c>
      <c r="S14" t="e">
        <v>#N/A</v>
      </c>
    </row>
    <row r="15" spans="1:19" ht="15" customHeight="1" x14ac:dyDescent="0.25">
      <c r="A15" s="178" t="s">
        <v>358</v>
      </c>
      <c r="B15" s="29" t="s">
        <v>983</v>
      </c>
      <c r="C15" s="140" t="e">
        <v>#N/A</v>
      </c>
      <c r="D15" s="140" t="e">
        <v>#N/A</v>
      </c>
      <c r="E15" s="140" t="e">
        <v>#N/A</v>
      </c>
      <c r="F15" s="140" t="e">
        <v>#N/A</v>
      </c>
      <c r="G15" s="140" t="e">
        <v>#N/A</v>
      </c>
      <c r="H15" s="140" t="e">
        <v>#N/A</v>
      </c>
      <c r="I15" s="140" t="e">
        <v>#N/A</v>
      </c>
      <c r="J15" s="188" t="s">
        <v>52</v>
      </c>
      <c r="K15" s="188" t="s">
        <v>52</v>
      </c>
      <c r="L15" s="174" t="s">
        <v>52</v>
      </c>
      <c r="M15" s="174" t="s">
        <v>52</v>
      </c>
      <c r="N15" s="140"/>
      <c r="O15" s="147" t="s">
        <v>80</v>
      </c>
      <c r="P15" s="142" t="s">
        <v>1096</v>
      </c>
      <c r="Q15" s="191" t="s">
        <v>1087</v>
      </c>
      <c r="R15" s="139" t="e">
        <v>#N/A</v>
      </c>
      <c r="S15" t="e">
        <v>#N/A</v>
      </c>
    </row>
    <row r="16" spans="1:19" ht="15" customHeight="1" x14ac:dyDescent="0.25">
      <c r="A16" s="178" t="s">
        <v>1017</v>
      </c>
      <c r="B16" s="29" t="s">
        <v>51</v>
      </c>
      <c r="C16" s="140">
        <v>3</v>
      </c>
      <c r="D16" s="140">
        <v>3</v>
      </c>
      <c r="E16" s="140">
        <v>3</v>
      </c>
      <c r="F16" s="140">
        <v>3</v>
      </c>
      <c r="G16" s="140">
        <v>3</v>
      </c>
      <c r="H16" s="140" t="e">
        <v>#N/A</v>
      </c>
      <c r="I16" s="140" t="e">
        <v>#N/A</v>
      </c>
      <c r="J16" s="188" t="s">
        <v>52</v>
      </c>
      <c r="K16" s="188" t="s">
        <v>52</v>
      </c>
      <c r="L16" s="174" t="s">
        <v>52</v>
      </c>
      <c r="M16" s="174" t="s">
        <v>52</v>
      </c>
      <c r="N16" s="140"/>
      <c r="O16" s="145" t="s">
        <v>75</v>
      </c>
      <c r="P16" s="142" t="s">
        <v>76</v>
      </c>
      <c r="Q16" s="191" t="s">
        <v>1087</v>
      </c>
      <c r="R16" s="139" t="e">
        <v>#N/A</v>
      </c>
      <c r="S16" t="e">
        <v>#N/A</v>
      </c>
    </row>
    <row r="17" spans="1:19" ht="15" customHeight="1" x14ac:dyDescent="0.25">
      <c r="A17" s="178" t="s">
        <v>398</v>
      </c>
      <c r="B17" s="169" t="s">
        <v>62</v>
      </c>
      <c r="C17" s="140"/>
      <c r="D17" s="140"/>
      <c r="E17" s="140"/>
      <c r="F17" s="140">
        <v>2</v>
      </c>
      <c r="G17" s="140" t="e">
        <v>#N/A</v>
      </c>
      <c r="H17" s="140" t="e">
        <v>#N/A</v>
      </c>
      <c r="I17" s="140" t="e">
        <v>#N/A</v>
      </c>
      <c r="J17" s="188" t="s">
        <v>52</v>
      </c>
      <c r="K17" s="188" t="s">
        <v>52</v>
      </c>
      <c r="L17" s="174" t="s">
        <v>52</v>
      </c>
      <c r="M17" s="174" t="s">
        <v>52</v>
      </c>
      <c r="N17" s="140"/>
      <c r="O17" s="147" t="s">
        <v>64</v>
      </c>
      <c r="P17" s="142" t="s">
        <v>399</v>
      </c>
      <c r="Q17" s="191" t="s">
        <v>1087</v>
      </c>
      <c r="R17" s="139" t="e">
        <v>#N/A</v>
      </c>
      <c r="S17" t="e">
        <v>#N/A</v>
      </c>
    </row>
    <row r="18" spans="1:19" ht="15" customHeight="1" x14ac:dyDescent="0.25">
      <c r="A18" s="178" t="s">
        <v>1018</v>
      </c>
      <c r="B18" s="29" t="s">
        <v>983</v>
      </c>
      <c r="C18" s="140">
        <v>3</v>
      </c>
      <c r="D18" s="140" t="e">
        <v>#N/A</v>
      </c>
      <c r="E18" s="140" t="e">
        <v>#N/A</v>
      </c>
      <c r="F18" s="140" t="e">
        <v>#N/A</v>
      </c>
      <c r="G18" s="140" t="e">
        <v>#N/A</v>
      </c>
      <c r="H18" s="140" t="e">
        <v>#N/A</v>
      </c>
      <c r="I18" s="140" t="e">
        <v>#N/A</v>
      </c>
      <c r="J18" s="188" t="s">
        <v>52</v>
      </c>
      <c r="K18" s="188" t="s">
        <v>52</v>
      </c>
      <c r="L18" s="174" t="s">
        <v>52</v>
      </c>
      <c r="M18" s="174" t="s">
        <v>52</v>
      </c>
      <c r="N18" s="140"/>
      <c r="O18" s="147" t="s">
        <v>80</v>
      </c>
      <c r="P18" s="142" t="s">
        <v>425</v>
      </c>
      <c r="Q18" s="191" t="s">
        <v>1087</v>
      </c>
      <c r="R18" s="139" t="e">
        <v>#N/A</v>
      </c>
      <c r="S18" t="e">
        <v>#N/A</v>
      </c>
    </row>
    <row r="19" spans="1:19" ht="15" customHeight="1" x14ac:dyDescent="0.25">
      <c r="A19" s="177" t="s">
        <v>1019</v>
      </c>
      <c r="B19" s="29" t="s">
        <v>983</v>
      </c>
      <c r="C19" s="140">
        <v>3</v>
      </c>
      <c r="D19" s="140">
        <v>3</v>
      </c>
      <c r="E19" s="140">
        <v>3</v>
      </c>
      <c r="F19" s="140">
        <v>3</v>
      </c>
      <c r="G19" s="140">
        <v>3</v>
      </c>
      <c r="H19" s="140" t="e">
        <v>#N/A</v>
      </c>
      <c r="I19" s="140" t="e">
        <v>#N/A</v>
      </c>
      <c r="J19" s="188" t="s">
        <v>52</v>
      </c>
      <c r="K19" s="188" t="s">
        <v>52</v>
      </c>
      <c r="L19" s="174" t="s">
        <v>52</v>
      </c>
      <c r="M19" s="174" t="s">
        <v>52</v>
      </c>
      <c r="N19" s="140"/>
      <c r="O19" s="147" t="s">
        <v>80</v>
      </c>
      <c r="P19" s="142" t="s">
        <v>140</v>
      </c>
      <c r="Q19" s="191" t="s">
        <v>1087</v>
      </c>
      <c r="R19" s="139" t="e">
        <v>#N/A</v>
      </c>
      <c r="S19" t="e">
        <v>#N/A</v>
      </c>
    </row>
    <row r="20" spans="1:19" ht="15" customHeight="1" x14ac:dyDescent="0.25">
      <c r="A20" s="182" t="s">
        <v>449</v>
      </c>
      <c r="B20" s="137"/>
      <c r="C20" s="140">
        <v>3</v>
      </c>
      <c r="D20" s="140">
        <v>3</v>
      </c>
      <c r="E20" s="140">
        <v>1</v>
      </c>
      <c r="F20" s="140" t="e">
        <v>#N/A</v>
      </c>
      <c r="G20" s="140">
        <v>3</v>
      </c>
      <c r="H20" s="140" t="e">
        <v>#N/A</v>
      </c>
      <c r="I20" s="140" t="e">
        <v>#N/A</v>
      </c>
      <c r="J20" s="188" t="s">
        <v>52</v>
      </c>
      <c r="K20" s="188" t="s">
        <v>52</v>
      </c>
      <c r="L20" s="174" t="s">
        <v>52</v>
      </c>
      <c r="M20" s="174" t="s">
        <v>52</v>
      </c>
      <c r="N20" s="140"/>
      <c r="O20" s="145" t="s">
        <v>75</v>
      </c>
      <c r="P20" s="156" t="s">
        <v>165</v>
      </c>
      <c r="Q20" s="191" t="s">
        <v>1087</v>
      </c>
      <c r="R20" s="139" t="e">
        <v>#N/A</v>
      </c>
      <c r="S20" t="e">
        <v>#N/A</v>
      </c>
    </row>
    <row r="21" spans="1:19" ht="15" customHeight="1" x14ac:dyDescent="0.25">
      <c r="A21" s="178" t="s">
        <v>459</v>
      </c>
      <c r="B21" s="137" t="s">
        <v>989</v>
      </c>
      <c r="C21" s="140">
        <v>3</v>
      </c>
      <c r="D21" s="140">
        <v>3</v>
      </c>
      <c r="E21" s="140">
        <v>3</v>
      </c>
      <c r="F21" s="140">
        <v>3</v>
      </c>
      <c r="G21" s="140">
        <v>3</v>
      </c>
      <c r="H21" s="140">
        <v>2</v>
      </c>
      <c r="I21" s="140" t="e">
        <v>#N/A</v>
      </c>
      <c r="J21" s="188" t="s">
        <v>52</v>
      </c>
      <c r="K21" s="188" t="s">
        <v>52</v>
      </c>
      <c r="L21" s="174" t="s">
        <v>52</v>
      </c>
      <c r="M21" s="174" t="s">
        <v>52</v>
      </c>
      <c r="N21" s="140"/>
      <c r="O21" s="145" t="s">
        <v>75</v>
      </c>
      <c r="P21" s="142" t="s">
        <v>76</v>
      </c>
      <c r="Q21" s="191" t="s">
        <v>1087</v>
      </c>
      <c r="R21" s="139" t="e">
        <v>#N/A</v>
      </c>
      <c r="S21" t="e">
        <v>#N/A</v>
      </c>
    </row>
    <row r="22" spans="1:19" ht="15" customHeight="1" x14ac:dyDescent="0.25">
      <c r="A22" s="178" t="s">
        <v>1029</v>
      </c>
      <c r="B22" s="29" t="s">
        <v>51</v>
      </c>
      <c r="C22" s="140">
        <v>2</v>
      </c>
      <c r="D22" s="140">
        <v>3</v>
      </c>
      <c r="E22" s="140">
        <v>3</v>
      </c>
      <c r="F22" s="140">
        <v>3</v>
      </c>
      <c r="G22" s="140">
        <v>3</v>
      </c>
      <c r="H22" s="140">
        <v>3</v>
      </c>
      <c r="I22" s="140" t="e">
        <v>#N/A</v>
      </c>
      <c r="J22" s="188" t="s">
        <v>52</v>
      </c>
      <c r="K22" s="188" t="s">
        <v>52</v>
      </c>
      <c r="L22" s="174" t="s">
        <v>52</v>
      </c>
      <c r="M22" s="174" t="s">
        <v>52</v>
      </c>
      <c r="N22" s="140"/>
      <c r="O22" s="145" t="s">
        <v>75</v>
      </c>
      <c r="P22" s="142" t="s">
        <v>76</v>
      </c>
      <c r="Q22" s="191" t="s">
        <v>1087</v>
      </c>
      <c r="R22" s="139" t="e">
        <v>#N/A</v>
      </c>
      <c r="S22" t="e">
        <v>#N/A</v>
      </c>
    </row>
    <row r="23" spans="1:19" ht="15" customHeight="1" x14ac:dyDescent="0.25">
      <c r="A23" s="178" t="s">
        <v>1031</v>
      </c>
      <c r="B23" s="29" t="s">
        <v>983</v>
      </c>
      <c r="C23" s="140">
        <v>3</v>
      </c>
      <c r="D23" s="140">
        <v>2</v>
      </c>
      <c r="E23" s="140">
        <v>4</v>
      </c>
      <c r="F23" s="140" t="e">
        <v>#N/A</v>
      </c>
      <c r="G23" s="140">
        <v>3</v>
      </c>
      <c r="H23" s="140" t="e">
        <v>#N/A</v>
      </c>
      <c r="I23" s="140" t="e">
        <v>#N/A</v>
      </c>
      <c r="J23" s="188" t="s">
        <v>52</v>
      </c>
      <c r="K23" s="188" t="s">
        <v>52</v>
      </c>
      <c r="L23" s="174" t="s">
        <v>52</v>
      </c>
      <c r="M23" s="174" t="s">
        <v>52</v>
      </c>
      <c r="N23" s="140"/>
      <c r="O23" s="146" t="s">
        <v>53</v>
      </c>
      <c r="P23" s="142" t="s">
        <v>557</v>
      </c>
      <c r="Q23" s="191" t="s">
        <v>1087</v>
      </c>
      <c r="R23" s="139" t="e">
        <v>#N/A</v>
      </c>
      <c r="S23" t="e">
        <v>#N/A</v>
      </c>
    </row>
    <row r="24" spans="1:19" ht="15" customHeight="1" x14ac:dyDescent="0.25">
      <c r="A24" s="178" t="s">
        <v>1032</v>
      </c>
      <c r="B24" s="137" t="s">
        <v>989</v>
      </c>
      <c r="C24" s="140">
        <v>4</v>
      </c>
      <c r="D24" s="140">
        <v>4</v>
      </c>
      <c r="E24" s="140">
        <v>3</v>
      </c>
      <c r="F24" s="140" t="e">
        <v>#N/A</v>
      </c>
      <c r="G24" s="140">
        <v>2</v>
      </c>
      <c r="H24" s="140" t="e">
        <v>#N/A</v>
      </c>
      <c r="I24" s="140" t="e">
        <v>#N/A</v>
      </c>
      <c r="J24" s="188" t="s">
        <v>52</v>
      </c>
      <c r="K24" s="188" t="s">
        <v>52</v>
      </c>
      <c r="L24" s="174" t="s">
        <v>52</v>
      </c>
      <c r="M24" s="174" t="s">
        <v>52</v>
      </c>
      <c r="N24" s="140"/>
      <c r="O24" s="145" t="s">
        <v>75</v>
      </c>
      <c r="P24" s="142" t="s">
        <v>165</v>
      </c>
      <c r="Q24" s="191" t="s">
        <v>1087</v>
      </c>
      <c r="R24" s="139" t="e">
        <v>#N/A</v>
      </c>
      <c r="S24" t="e">
        <v>#N/A</v>
      </c>
    </row>
    <row r="25" spans="1:19" ht="15" customHeight="1" x14ac:dyDescent="0.25">
      <c r="A25" s="178" t="s">
        <v>1035</v>
      </c>
      <c r="B25" s="29" t="s">
        <v>51</v>
      </c>
      <c r="C25" s="140">
        <v>3</v>
      </c>
      <c r="D25" s="140">
        <v>4</v>
      </c>
      <c r="E25" s="140">
        <v>4</v>
      </c>
      <c r="F25" s="140">
        <v>4</v>
      </c>
      <c r="G25" s="140">
        <v>4</v>
      </c>
      <c r="H25" s="140" t="e">
        <v>#N/A</v>
      </c>
      <c r="I25" s="140" t="e">
        <v>#N/A</v>
      </c>
      <c r="J25" s="188" t="s">
        <v>52</v>
      </c>
      <c r="K25" s="188" t="s">
        <v>52</v>
      </c>
      <c r="L25" s="174" t="s">
        <v>52</v>
      </c>
      <c r="M25" s="174" t="s">
        <v>52</v>
      </c>
      <c r="N25" s="140"/>
      <c r="O25" s="145" t="s">
        <v>75</v>
      </c>
      <c r="P25" s="142" t="s">
        <v>76</v>
      </c>
      <c r="Q25" s="191" t="s">
        <v>1087</v>
      </c>
      <c r="R25" s="139" t="e">
        <v>#N/A</v>
      </c>
      <c r="S25" t="e">
        <v>#N/A</v>
      </c>
    </row>
    <row r="26" spans="1:19" ht="15" customHeight="1" x14ac:dyDescent="0.25">
      <c r="A26" s="178" t="s">
        <v>614</v>
      </c>
      <c r="B26" s="29" t="s">
        <v>51</v>
      </c>
      <c r="C26" s="140" t="e">
        <v>#N/A</v>
      </c>
      <c r="D26" s="140" t="e">
        <v>#N/A</v>
      </c>
      <c r="E26" s="140" t="e">
        <v>#N/A</v>
      </c>
      <c r="F26" s="140" t="e">
        <v>#N/A</v>
      </c>
      <c r="G26" s="140" t="e">
        <v>#N/A</v>
      </c>
      <c r="H26" s="140" t="e">
        <v>#N/A</v>
      </c>
      <c r="I26" s="140" t="e">
        <v>#N/A</v>
      </c>
      <c r="J26" s="174" t="s">
        <v>52</v>
      </c>
      <c r="K26" s="174" t="s">
        <v>52</v>
      </c>
      <c r="L26" s="174" t="s">
        <v>52</v>
      </c>
      <c r="M26" s="174" t="s">
        <v>52</v>
      </c>
      <c r="N26" s="140"/>
      <c r="O26" s="147" t="s">
        <v>80</v>
      </c>
      <c r="P26" s="163" t="s">
        <v>615</v>
      </c>
      <c r="Q26" s="191" t="s">
        <v>1087</v>
      </c>
      <c r="R26" s="139" t="e">
        <v>#N/A</v>
      </c>
      <c r="S26" t="e">
        <v>#N/A</v>
      </c>
    </row>
    <row r="27" spans="1:19" ht="15" customHeight="1" x14ac:dyDescent="0.25">
      <c r="A27" s="178" t="s">
        <v>616</v>
      </c>
      <c r="B27" s="29" t="s">
        <v>51</v>
      </c>
      <c r="C27" s="140" t="e">
        <v>#N/A</v>
      </c>
      <c r="D27" s="140" t="e">
        <v>#N/A</v>
      </c>
      <c r="E27" s="140" t="e">
        <v>#N/A</v>
      </c>
      <c r="F27" s="140" t="e">
        <v>#N/A</v>
      </c>
      <c r="G27" s="140" t="e">
        <v>#N/A</v>
      </c>
      <c r="H27" s="140" t="e">
        <v>#N/A</v>
      </c>
      <c r="I27" s="140" t="e">
        <v>#N/A</v>
      </c>
      <c r="J27" s="195" t="s">
        <v>52</v>
      </c>
      <c r="K27" s="195" t="s">
        <v>52</v>
      </c>
      <c r="L27" s="174" t="s">
        <v>52</v>
      </c>
      <c r="M27" s="174" t="s">
        <v>52</v>
      </c>
      <c r="N27" s="140"/>
      <c r="O27" s="147" t="s">
        <v>80</v>
      </c>
      <c r="P27" s="162" t="s">
        <v>615</v>
      </c>
      <c r="Q27" s="191" t="s">
        <v>1087</v>
      </c>
      <c r="R27" s="139" t="e">
        <v>#N/A</v>
      </c>
      <c r="S27" t="e">
        <v>#N/A</v>
      </c>
    </row>
    <row r="28" spans="1:19" ht="15" customHeight="1" x14ac:dyDescent="0.25">
      <c r="A28" s="178" t="s">
        <v>617</v>
      </c>
      <c r="B28" s="29" t="s">
        <v>51</v>
      </c>
      <c r="C28" s="140" t="e">
        <v>#N/A</v>
      </c>
      <c r="D28" s="140" t="e">
        <v>#N/A</v>
      </c>
      <c r="E28" s="140" t="e">
        <v>#N/A</v>
      </c>
      <c r="F28" s="140" t="e">
        <v>#N/A</v>
      </c>
      <c r="G28" s="140" t="e">
        <v>#N/A</v>
      </c>
      <c r="H28" s="140" t="e">
        <v>#N/A</v>
      </c>
      <c r="I28" s="140" t="e">
        <v>#N/A</v>
      </c>
      <c r="J28" s="188" t="s">
        <v>52</v>
      </c>
      <c r="K28" s="188" t="s">
        <v>52</v>
      </c>
      <c r="L28" s="174" t="s">
        <v>52</v>
      </c>
      <c r="M28" s="174" t="s">
        <v>52</v>
      </c>
      <c r="N28" s="140"/>
      <c r="O28" s="147" t="s">
        <v>80</v>
      </c>
      <c r="P28" s="142" t="s">
        <v>619</v>
      </c>
      <c r="Q28" s="191" t="s">
        <v>1087</v>
      </c>
      <c r="R28" s="139" t="e">
        <v>#N/A</v>
      </c>
      <c r="S28" t="e">
        <v>#N/A</v>
      </c>
    </row>
    <row r="29" spans="1:19" ht="15" customHeight="1" x14ac:dyDescent="0.25">
      <c r="A29" s="161" t="s">
        <v>655</v>
      </c>
      <c r="B29" s="169" t="s">
        <v>105</v>
      </c>
      <c r="C29" s="76"/>
      <c r="D29" s="76"/>
      <c r="E29" s="76"/>
      <c r="F29" s="76"/>
      <c r="G29" s="76"/>
      <c r="H29" s="76"/>
      <c r="I29" s="76"/>
      <c r="J29" s="76"/>
      <c r="K29" s="188" t="s">
        <v>52</v>
      </c>
      <c r="L29" s="174" t="s">
        <v>52</v>
      </c>
      <c r="M29" s="174" t="s">
        <v>52</v>
      </c>
      <c r="N29" s="188" t="s">
        <v>52</v>
      </c>
      <c r="O29" s="354" t="s">
        <v>75</v>
      </c>
      <c r="P29" s="170"/>
      <c r="Q29" s="191" t="s">
        <v>1087</v>
      </c>
      <c r="R29" s="139" t="e">
        <v>#N/A</v>
      </c>
      <c r="S29" t="e">
        <v>#N/A</v>
      </c>
    </row>
    <row r="30" spans="1:19" ht="15" customHeight="1" x14ac:dyDescent="0.25">
      <c r="A30" s="178" t="s">
        <v>671</v>
      </c>
      <c r="B30" s="28" t="s">
        <v>983</v>
      </c>
      <c r="C30" s="140">
        <v>3</v>
      </c>
      <c r="D30" s="140">
        <v>3</v>
      </c>
      <c r="E30" s="140">
        <v>3</v>
      </c>
      <c r="F30" s="140" t="e">
        <v>#N/A</v>
      </c>
      <c r="G30" s="140">
        <v>2</v>
      </c>
      <c r="H30" s="140" t="e">
        <v>#N/A</v>
      </c>
      <c r="I30" s="140">
        <v>3</v>
      </c>
      <c r="J30" s="188" t="s">
        <v>52</v>
      </c>
      <c r="K30" s="188" t="s">
        <v>52</v>
      </c>
      <c r="L30" s="174" t="s">
        <v>52</v>
      </c>
      <c r="M30" s="174" t="s">
        <v>52</v>
      </c>
      <c r="N30" s="140"/>
      <c r="O30" s="145" t="s">
        <v>75</v>
      </c>
      <c r="P30" s="142" t="s">
        <v>85</v>
      </c>
      <c r="Q30" s="191" t="s">
        <v>1087</v>
      </c>
      <c r="R30" s="139" t="e">
        <v>#N/A</v>
      </c>
      <c r="S30" t="e">
        <v>#N/A</v>
      </c>
    </row>
    <row r="31" spans="1:19" ht="15" customHeight="1" x14ac:dyDescent="0.25">
      <c r="A31" s="178" t="s">
        <v>1043</v>
      </c>
      <c r="B31" s="183" t="s">
        <v>983</v>
      </c>
      <c r="C31" s="140">
        <v>4</v>
      </c>
      <c r="D31" s="140" t="e">
        <v>#N/A</v>
      </c>
      <c r="E31" s="140">
        <v>4</v>
      </c>
      <c r="F31" s="140">
        <v>4</v>
      </c>
      <c r="G31" s="140" t="e">
        <v>#N/A</v>
      </c>
      <c r="H31" s="140" t="e">
        <v>#N/A</v>
      </c>
      <c r="I31" s="140" t="e">
        <v>#N/A</v>
      </c>
      <c r="J31" s="188" t="s">
        <v>52</v>
      </c>
      <c r="K31" s="188" t="s">
        <v>52</v>
      </c>
      <c r="L31" s="174" t="s">
        <v>52</v>
      </c>
      <c r="M31" s="174" t="s">
        <v>52</v>
      </c>
      <c r="N31" s="140"/>
      <c r="O31" s="147" t="s">
        <v>80</v>
      </c>
      <c r="P31" s="142" t="s">
        <v>681</v>
      </c>
      <c r="Q31" s="191" t="s">
        <v>1087</v>
      </c>
      <c r="R31" s="139" t="e">
        <v>#N/A</v>
      </c>
      <c r="S31" t="e">
        <v>#N/A</v>
      </c>
    </row>
    <row r="32" spans="1:19" ht="15" customHeight="1" x14ac:dyDescent="0.25">
      <c r="A32" s="178" t="s">
        <v>1044</v>
      </c>
      <c r="B32" s="28" t="s">
        <v>983</v>
      </c>
      <c r="C32" s="140">
        <v>3</v>
      </c>
      <c r="D32" s="140">
        <v>2</v>
      </c>
      <c r="E32" s="140" t="e">
        <v>#N/A</v>
      </c>
      <c r="F32" s="140" t="e">
        <v>#N/A</v>
      </c>
      <c r="G32" s="140">
        <v>3</v>
      </c>
      <c r="H32" s="140" t="e">
        <v>#N/A</v>
      </c>
      <c r="I32" s="140" t="e">
        <v>#N/A</v>
      </c>
      <c r="J32" s="188" t="s">
        <v>52</v>
      </c>
      <c r="K32" s="188" t="s">
        <v>52</v>
      </c>
      <c r="L32" s="174" t="s">
        <v>52</v>
      </c>
      <c r="M32" s="174" t="s">
        <v>52</v>
      </c>
      <c r="N32" s="140"/>
      <c r="O32" s="146" t="s">
        <v>53</v>
      </c>
      <c r="P32" s="162" t="s">
        <v>557</v>
      </c>
      <c r="Q32" s="191" t="s">
        <v>1087</v>
      </c>
      <c r="R32" s="139" t="e">
        <v>#N/A</v>
      </c>
      <c r="S32" t="e">
        <v>#N/A</v>
      </c>
    </row>
    <row r="33" spans="1:19" ht="15" customHeight="1" x14ac:dyDescent="0.25">
      <c r="A33" s="178" t="s">
        <v>1046</v>
      </c>
      <c r="B33" s="29" t="s">
        <v>983</v>
      </c>
      <c r="C33" s="140">
        <v>3</v>
      </c>
      <c r="D33" s="140">
        <v>4</v>
      </c>
      <c r="E33" s="140">
        <v>3</v>
      </c>
      <c r="F33" s="140">
        <v>4</v>
      </c>
      <c r="G33" s="140">
        <v>3</v>
      </c>
      <c r="H33" s="140" t="e">
        <v>#N/A</v>
      </c>
      <c r="I33" s="140" t="e">
        <v>#N/A</v>
      </c>
      <c r="J33" s="188" t="s">
        <v>52</v>
      </c>
      <c r="K33" s="188" t="s">
        <v>52</v>
      </c>
      <c r="L33" s="174" t="s">
        <v>52</v>
      </c>
      <c r="M33" s="174" t="s">
        <v>52</v>
      </c>
      <c r="N33" s="140"/>
      <c r="O33" s="147" t="s">
        <v>53</v>
      </c>
      <c r="P33" s="142" t="s">
        <v>1108</v>
      </c>
      <c r="Q33" s="191" t="s">
        <v>1087</v>
      </c>
      <c r="R33" s="139" t="e">
        <v>#N/A</v>
      </c>
      <c r="S33" t="e">
        <v>#N/A</v>
      </c>
    </row>
    <row r="34" spans="1:19" ht="15" customHeight="1" x14ac:dyDescent="0.25">
      <c r="A34" s="178" t="s">
        <v>721</v>
      </c>
      <c r="B34" s="29" t="s">
        <v>51</v>
      </c>
      <c r="C34" s="140">
        <v>3</v>
      </c>
      <c r="D34" s="140">
        <v>3</v>
      </c>
      <c r="E34" s="140">
        <v>3</v>
      </c>
      <c r="F34" s="140">
        <v>4</v>
      </c>
      <c r="G34" s="140">
        <v>4</v>
      </c>
      <c r="H34" s="140" t="e">
        <v>#N/A</v>
      </c>
      <c r="I34" s="140" t="e">
        <v>#N/A</v>
      </c>
      <c r="J34" s="188" t="s">
        <v>52</v>
      </c>
      <c r="K34" s="188" t="s">
        <v>52</v>
      </c>
      <c r="L34" s="174" t="s">
        <v>52</v>
      </c>
      <c r="M34" s="174" t="s">
        <v>52</v>
      </c>
      <c r="N34" s="140"/>
      <c r="O34" s="145" t="s">
        <v>75</v>
      </c>
      <c r="P34" s="142" t="s">
        <v>76</v>
      </c>
      <c r="Q34" s="191" t="s">
        <v>1087</v>
      </c>
      <c r="R34" s="139" t="e">
        <v>#N/A</v>
      </c>
      <c r="S34" t="e">
        <v>#N/A</v>
      </c>
    </row>
    <row r="35" spans="1:19" ht="15" customHeight="1" x14ac:dyDescent="0.25">
      <c r="A35" s="137" t="s">
        <v>1055</v>
      </c>
      <c r="B35" s="183" t="s">
        <v>983</v>
      </c>
      <c r="C35" s="140">
        <v>3</v>
      </c>
      <c r="D35" s="140">
        <v>3</v>
      </c>
      <c r="E35" s="140">
        <v>3</v>
      </c>
      <c r="F35" s="140">
        <v>3</v>
      </c>
      <c r="G35" s="140">
        <v>3</v>
      </c>
      <c r="H35" s="140" t="e">
        <v>#N/A</v>
      </c>
      <c r="I35" s="140" t="e">
        <v>#N/A</v>
      </c>
      <c r="J35" s="188" t="s">
        <v>52</v>
      </c>
      <c r="K35" s="188" t="s">
        <v>52</v>
      </c>
      <c r="L35" s="174" t="s">
        <v>52</v>
      </c>
      <c r="M35" s="174" t="s">
        <v>52</v>
      </c>
      <c r="N35" s="140"/>
      <c r="O35" s="146" t="s">
        <v>53</v>
      </c>
      <c r="P35" s="142" t="s">
        <v>54</v>
      </c>
      <c r="Q35" s="191" t="s">
        <v>1087</v>
      </c>
      <c r="R35" s="139" t="e">
        <v>#N/A</v>
      </c>
      <c r="S35" t="e">
        <v>#N/A</v>
      </c>
    </row>
    <row r="36" spans="1:19" ht="15" customHeight="1" x14ac:dyDescent="0.25">
      <c r="A36" s="137" t="s">
        <v>766</v>
      </c>
      <c r="B36" s="29" t="s">
        <v>51</v>
      </c>
      <c r="C36" s="140">
        <v>3</v>
      </c>
      <c r="D36" s="140">
        <v>3</v>
      </c>
      <c r="E36" s="140">
        <v>3</v>
      </c>
      <c r="F36" s="140">
        <v>3</v>
      </c>
      <c r="G36" s="140">
        <v>3</v>
      </c>
      <c r="H36" s="140" t="e">
        <v>#N/A</v>
      </c>
      <c r="I36" s="140">
        <v>3</v>
      </c>
      <c r="J36" s="140">
        <v>4</v>
      </c>
      <c r="K36" s="188" t="s">
        <v>52</v>
      </c>
      <c r="L36" s="174" t="s">
        <v>52</v>
      </c>
      <c r="M36" s="174" t="s">
        <v>52</v>
      </c>
      <c r="N36" s="140"/>
      <c r="O36" s="145" t="s">
        <v>75</v>
      </c>
      <c r="P36" s="142" t="s">
        <v>76</v>
      </c>
      <c r="Q36" s="191" t="s">
        <v>1087</v>
      </c>
      <c r="R36" s="139" t="e">
        <v>#N/A</v>
      </c>
      <c r="S36" t="e">
        <v>#N/A</v>
      </c>
    </row>
    <row r="37" spans="1:19" ht="15" customHeight="1" x14ac:dyDescent="0.25">
      <c r="A37" s="182" t="s">
        <v>1057</v>
      </c>
      <c r="B37" s="29" t="s">
        <v>983</v>
      </c>
      <c r="C37" s="140">
        <v>4</v>
      </c>
      <c r="D37" s="140">
        <v>4</v>
      </c>
      <c r="E37" s="140">
        <v>4</v>
      </c>
      <c r="F37" s="140">
        <v>4</v>
      </c>
      <c r="G37" s="140">
        <v>4</v>
      </c>
      <c r="H37" s="140" t="e">
        <v>#N/A</v>
      </c>
      <c r="I37" s="140" t="e">
        <v>#N/A</v>
      </c>
      <c r="J37" s="188" t="s">
        <v>52</v>
      </c>
      <c r="K37" s="188" t="s">
        <v>52</v>
      </c>
      <c r="L37" s="174" t="s">
        <v>52</v>
      </c>
      <c r="M37" s="174" t="s">
        <v>52</v>
      </c>
      <c r="N37" s="140"/>
      <c r="O37" s="146" t="s">
        <v>53</v>
      </c>
      <c r="P37" s="142" t="s">
        <v>1112</v>
      </c>
      <c r="Q37" s="191" t="s">
        <v>1087</v>
      </c>
      <c r="R37" s="139" t="e">
        <v>#N/A</v>
      </c>
      <c r="S37" t="e">
        <v>#N/A</v>
      </c>
    </row>
    <row r="38" spans="1:19" ht="15" customHeight="1" x14ac:dyDescent="0.25">
      <c r="A38" s="182" t="s">
        <v>1058</v>
      </c>
      <c r="B38" s="29" t="s">
        <v>983</v>
      </c>
      <c r="C38" s="140">
        <v>3</v>
      </c>
      <c r="D38" s="140" t="e">
        <v>#N/A</v>
      </c>
      <c r="E38" s="140" t="e">
        <v>#N/A</v>
      </c>
      <c r="F38" s="140" t="e">
        <v>#N/A</v>
      </c>
      <c r="G38" s="140">
        <v>3</v>
      </c>
      <c r="H38" s="140" t="e">
        <v>#N/A</v>
      </c>
      <c r="I38" s="140" t="e">
        <v>#N/A</v>
      </c>
      <c r="J38" s="188" t="s">
        <v>52</v>
      </c>
      <c r="K38" s="188" t="s">
        <v>52</v>
      </c>
      <c r="L38" s="174" t="s">
        <v>52</v>
      </c>
      <c r="M38" s="174" t="s">
        <v>52</v>
      </c>
      <c r="N38" s="140"/>
      <c r="O38" s="147" t="s">
        <v>80</v>
      </c>
      <c r="P38" s="157" t="s">
        <v>114</v>
      </c>
      <c r="Q38" s="191" t="s">
        <v>1087</v>
      </c>
      <c r="R38" s="139" t="e">
        <v>#N/A</v>
      </c>
      <c r="S38" t="e">
        <v>#N/A</v>
      </c>
    </row>
    <row r="39" spans="1:19" ht="15" customHeight="1" x14ac:dyDescent="0.25">
      <c r="A39" s="182" t="s">
        <v>1065</v>
      </c>
      <c r="B39" s="29" t="s">
        <v>983</v>
      </c>
      <c r="C39" s="140"/>
      <c r="D39" s="140">
        <v>3</v>
      </c>
      <c r="E39" s="140">
        <v>3</v>
      </c>
      <c r="F39" s="140">
        <v>3</v>
      </c>
      <c r="G39" s="140">
        <v>3</v>
      </c>
      <c r="H39" s="140" t="e">
        <v>#N/A</v>
      </c>
      <c r="I39" s="140" t="e">
        <v>#N/A</v>
      </c>
      <c r="J39" s="174" t="s">
        <v>52</v>
      </c>
      <c r="K39" s="174" t="s">
        <v>52</v>
      </c>
      <c r="L39" s="174" t="s">
        <v>52</v>
      </c>
      <c r="M39" s="174" t="s">
        <v>52</v>
      </c>
      <c r="N39" s="140"/>
      <c r="O39" s="146" t="s">
        <v>53</v>
      </c>
      <c r="P39" s="142"/>
      <c r="Q39" s="191" t="s">
        <v>1087</v>
      </c>
      <c r="R39" s="139" t="e">
        <v>#N/A</v>
      </c>
      <c r="S39" t="e">
        <v>#N/A</v>
      </c>
    </row>
    <row r="40" spans="1:19" ht="15" customHeight="1" x14ac:dyDescent="0.25">
      <c r="A40" s="182" t="s">
        <v>865</v>
      </c>
      <c r="B40" s="29" t="s">
        <v>983</v>
      </c>
      <c r="C40" s="140" t="e">
        <v>#N/A</v>
      </c>
      <c r="D40" s="140" t="e">
        <v>#N/A</v>
      </c>
      <c r="E40" s="140" t="e">
        <v>#N/A</v>
      </c>
      <c r="F40" s="140" t="e">
        <v>#N/A</v>
      </c>
      <c r="G40" s="140" t="e">
        <v>#N/A</v>
      </c>
      <c r="H40" s="140" t="e">
        <v>#N/A</v>
      </c>
      <c r="I40" s="140" t="e">
        <v>#N/A</v>
      </c>
      <c r="J40" s="188" t="s">
        <v>52</v>
      </c>
      <c r="K40" s="188" t="s">
        <v>52</v>
      </c>
      <c r="L40" s="174" t="s">
        <v>52</v>
      </c>
      <c r="M40" s="174" t="s">
        <v>52</v>
      </c>
      <c r="N40" s="140"/>
      <c r="O40" s="147" t="s">
        <v>80</v>
      </c>
      <c r="P40" s="142" t="s">
        <v>866</v>
      </c>
      <c r="Q40" s="191" t="s">
        <v>1087</v>
      </c>
      <c r="R40" s="139" t="e">
        <v>#N/A</v>
      </c>
      <c r="S40" t="e">
        <v>#N/A</v>
      </c>
    </row>
    <row r="41" spans="1:19" ht="15" customHeight="1" x14ac:dyDescent="0.25">
      <c r="A41" s="182" t="s">
        <v>1067</v>
      </c>
      <c r="B41" s="29" t="s">
        <v>983</v>
      </c>
      <c r="C41" s="140">
        <v>3</v>
      </c>
      <c r="D41" s="140">
        <v>3</v>
      </c>
      <c r="E41" s="140">
        <v>4</v>
      </c>
      <c r="F41" s="140">
        <v>3</v>
      </c>
      <c r="G41" s="140">
        <v>3</v>
      </c>
      <c r="H41" s="140" t="e">
        <v>#N/A</v>
      </c>
      <c r="I41" s="140" t="e">
        <v>#N/A</v>
      </c>
      <c r="J41" s="188" t="s">
        <v>52</v>
      </c>
      <c r="K41" s="188" t="s">
        <v>52</v>
      </c>
      <c r="L41" s="174" t="s">
        <v>52</v>
      </c>
      <c r="M41" s="174" t="s">
        <v>52</v>
      </c>
      <c r="N41" s="140"/>
      <c r="O41" s="146" t="s">
        <v>53</v>
      </c>
      <c r="P41" s="142" t="s">
        <v>869</v>
      </c>
      <c r="Q41" s="191" t="s">
        <v>1087</v>
      </c>
      <c r="R41" s="139" t="e">
        <v>#N/A</v>
      </c>
      <c r="S41" t="e">
        <v>#N/A</v>
      </c>
    </row>
    <row r="42" spans="1:19" ht="15" customHeight="1" x14ac:dyDescent="0.25">
      <c r="A42" s="182" t="s">
        <v>1068</v>
      </c>
      <c r="B42" s="29" t="s">
        <v>983</v>
      </c>
      <c r="C42" s="140">
        <v>3</v>
      </c>
      <c r="D42" s="140">
        <v>3</v>
      </c>
      <c r="E42" s="140">
        <v>3</v>
      </c>
      <c r="F42" s="140">
        <v>3</v>
      </c>
      <c r="G42" s="140">
        <v>3</v>
      </c>
      <c r="H42" s="140" t="e">
        <v>#N/A</v>
      </c>
      <c r="I42" s="140" t="e">
        <v>#N/A</v>
      </c>
      <c r="J42" s="188" t="s">
        <v>52</v>
      </c>
      <c r="K42" s="188" t="s">
        <v>52</v>
      </c>
      <c r="L42" s="174" t="s">
        <v>52</v>
      </c>
      <c r="M42" s="174" t="s">
        <v>52</v>
      </c>
      <c r="N42" s="140"/>
      <c r="O42" s="146" t="s">
        <v>53</v>
      </c>
      <c r="P42" s="138" t="s">
        <v>1114</v>
      </c>
      <c r="Q42" s="191" t="s">
        <v>1087</v>
      </c>
      <c r="R42" s="139" t="e">
        <v>#N/A</v>
      </c>
      <c r="S42" t="e">
        <v>#N/A</v>
      </c>
    </row>
    <row r="43" spans="1:19" x14ac:dyDescent="0.25">
      <c r="A43" s="182" t="s">
        <v>1115</v>
      </c>
      <c r="B43" s="137" t="s">
        <v>989</v>
      </c>
      <c r="C43" s="140">
        <v>3</v>
      </c>
      <c r="D43" s="140">
        <v>3</v>
      </c>
      <c r="E43" s="140">
        <v>3</v>
      </c>
      <c r="F43" s="140">
        <v>4</v>
      </c>
      <c r="G43" s="140">
        <v>4</v>
      </c>
      <c r="H43" s="140">
        <v>4</v>
      </c>
      <c r="I43" s="140" t="e">
        <v>#N/A</v>
      </c>
      <c r="J43" s="188" t="s">
        <v>52</v>
      </c>
      <c r="K43" s="188" t="s">
        <v>52</v>
      </c>
      <c r="L43" s="174" t="s">
        <v>52</v>
      </c>
      <c r="M43" s="174" t="s">
        <v>52</v>
      </c>
      <c r="N43" s="140"/>
      <c r="O43" s="145" t="s">
        <v>75</v>
      </c>
      <c r="P43" s="142" t="s">
        <v>76</v>
      </c>
      <c r="Q43" s="191" t="s">
        <v>1087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K154"/>
  <sheetViews>
    <sheetView zoomScale="120" zoomScaleNormal="120" workbookViewId="0">
      <selection activeCell="J4" sqref="J4"/>
    </sheetView>
  </sheetViews>
  <sheetFormatPr defaultRowHeight="15" x14ac:dyDescent="0.25"/>
  <cols>
    <col min="1" max="1" width="24" customWidth="1"/>
    <col min="2" max="2" width="7.85546875" customWidth="1"/>
    <col min="3" max="3" width="14.140625" customWidth="1"/>
    <col min="4" max="4" width="4.140625" customWidth="1"/>
    <col min="5" max="5" width="7.85546875" customWidth="1"/>
    <col min="6" max="6" width="6.140625" customWidth="1"/>
    <col min="7" max="7" width="2.140625" customWidth="1"/>
    <col min="8" max="8" width="10.85546875" style="49" customWidth="1"/>
    <col min="9" max="9" width="2.140625" customWidth="1"/>
    <col min="10" max="10" width="11" style="49" customWidth="1"/>
    <col min="11" max="11" width="2.85546875" customWidth="1"/>
    <col min="12" max="12" width="9.85546875" customWidth="1"/>
    <col min="13" max="13" width="2.140625" customWidth="1"/>
    <col min="14" max="14" width="9.140625" customWidth="1"/>
    <col min="15" max="15" width="2.140625" customWidth="1"/>
    <col min="16" max="16" width="9" style="49" customWidth="1"/>
    <col min="17" max="17" width="5.85546875" customWidth="1"/>
    <col min="18" max="18" width="9.85546875" customWidth="1"/>
    <col min="19" max="19" width="1.140625" customWidth="1"/>
    <col min="20" max="21" width="9.85546875" customWidth="1"/>
    <col min="22" max="35" width="9.140625" customWidth="1"/>
  </cols>
  <sheetData>
    <row r="1" spans="1:37" ht="26.25" customHeight="1" x14ac:dyDescent="0.25">
      <c r="A1" s="8"/>
      <c r="B1" s="9" t="s">
        <v>0</v>
      </c>
      <c r="C1" s="187">
        <v>43847</v>
      </c>
      <c r="D1" s="8"/>
      <c r="E1" s="9" t="s">
        <v>1</v>
      </c>
      <c r="F1" s="65">
        <v>0.5</v>
      </c>
      <c r="G1" s="8"/>
      <c r="H1" s="47"/>
      <c r="I1" s="10"/>
      <c r="J1" s="47"/>
      <c r="K1" s="10"/>
      <c r="L1" s="11"/>
      <c r="M1" s="10"/>
      <c r="N1" s="11"/>
      <c r="O1" s="8"/>
      <c r="P1" s="46" t="s">
        <v>2</v>
      </c>
      <c r="Q1" s="65">
        <v>0.9</v>
      </c>
      <c r="R1" s="12"/>
      <c r="S1" s="12"/>
      <c r="T1" s="8"/>
      <c r="U1" s="8"/>
      <c r="AC1" t="s">
        <v>3</v>
      </c>
    </row>
    <row r="2" spans="1:37" ht="60.75" x14ac:dyDescent="0.25">
      <c r="A2" s="13"/>
      <c r="B2" s="13"/>
      <c r="C2" s="13"/>
      <c r="D2" s="13"/>
      <c r="E2" s="13"/>
      <c r="F2" s="13"/>
      <c r="G2" s="13"/>
      <c r="H2" s="17" t="s">
        <v>4</v>
      </c>
      <c r="I2" s="13"/>
      <c r="J2" s="17" t="s">
        <v>5</v>
      </c>
      <c r="K2" s="13"/>
      <c r="L2" s="14" t="s">
        <v>6</v>
      </c>
      <c r="M2" s="13"/>
      <c r="N2" s="14" t="s">
        <v>2</v>
      </c>
      <c r="O2" s="13"/>
      <c r="P2" s="17" t="s">
        <v>7</v>
      </c>
      <c r="Q2" s="13"/>
      <c r="R2" s="13" t="s">
        <v>8</v>
      </c>
      <c r="S2" s="13"/>
      <c r="T2" s="13" t="s">
        <v>2</v>
      </c>
      <c r="U2" s="13"/>
      <c r="AH2" s="64">
        <v>42094</v>
      </c>
    </row>
    <row r="3" spans="1:37" x14ac:dyDescent="0.25">
      <c r="A3" s="13"/>
      <c r="B3" s="13"/>
      <c r="C3" s="13"/>
      <c r="D3" s="13"/>
      <c r="E3" s="13"/>
      <c r="F3" s="13"/>
      <c r="G3" s="13"/>
      <c r="H3" s="17"/>
      <c r="I3" s="13"/>
      <c r="J3" s="17"/>
      <c r="K3" s="13"/>
      <c r="L3" s="14"/>
      <c r="M3" s="13"/>
      <c r="N3" s="14"/>
      <c r="O3" s="13"/>
      <c r="P3" s="17"/>
      <c r="Q3" s="13"/>
      <c r="R3" s="13"/>
      <c r="S3" s="13"/>
      <c r="T3" s="13"/>
      <c r="U3" s="13"/>
      <c r="X3">
        <f ca="1">MONTH(TODAY())+55000</f>
        <v>55011</v>
      </c>
      <c r="AH3" s="64"/>
    </row>
    <row r="4" spans="1:37" ht="15.75" x14ac:dyDescent="0.25">
      <c r="A4" s="502" t="s">
        <v>9</v>
      </c>
      <c r="B4" s="504" t="s">
        <v>10</v>
      </c>
      <c r="C4" s="504"/>
      <c r="D4" s="504"/>
      <c r="E4" s="504"/>
      <c r="F4" s="504"/>
      <c r="G4" s="15"/>
      <c r="H4" s="46">
        <v>11</v>
      </c>
      <c r="I4" s="10"/>
      <c r="J4" s="46" t="e">
        <f ca="1">IF(MONTH($C$1)&gt;MONTH(TODAY())+55000,"0",COUNTIFS(ATBCL,"ATB1",INDIRECT(VLOOKUP(MONTH($C$1),$AF$4:$AG$15,2,0),1),1)+COUNTIFS(ATBCL,"ATB1",INDIRECT(VLOOKUP(MONTH($C$1),$AF$4:$AG$15,2,0),1),2)+COUNTIFS(ATBCL,"ATB1",INDIRECT(VLOOKUP(MONTH($C$1),$AF$4:$AG$15,2,0),1),3)+COUNTIFS(ATBCL,"ATB1",INDIRECT(VLOOKUP(MONTH($C$1),$AF$4:$AG$15,2,0),1),4))</f>
        <v>#REF!</v>
      </c>
      <c r="K4" s="10"/>
      <c r="L4" s="16" t="e">
        <f ca="1">J4/H4</f>
        <v>#REF!</v>
      </c>
      <c r="M4" s="10"/>
      <c r="N4" s="16">
        <f>$F$1</f>
        <v>0.5</v>
      </c>
      <c r="O4" s="8"/>
      <c r="P4" s="46" t="e">
        <f ca="1">COUNTIFS(ATBCL,"ATB1",INDIRECT(VLOOKUP(MONTH($C$1),$AF$5:$AG$16,2,0),1),3)+COUNTIFS(ATBCL,"ATB1",INDIRECT(VLOOKUP(MONTH($C$1),$AF$5:$AG$16,2,0),1),4)</f>
        <v>#REF!</v>
      </c>
      <c r="Q4" s="10"/>
      <c r="R4" s="16" t="e">
        <f ca="1">P4/J4</f>
        <v>#REF!</v>
      </c>
      <c r="S4" s="10"/>
      <c r="T4" s="40" t="e">
        <f ca="1">P4/J4</f>
        <v>#REF!</v>
      </c>
      <c r="U4" s="13"/>
      <c r="V4" t="e">
        <f>COUNTIFS(Cleaning!#REF!,"ATB1",Cleaning!#REF!,"&lt;&gt;NV")</f>
        <v>#REF!</v>
      </c>
      <c r="W4" t="e" cm="1">
        <f t="array" ref="W4">SUM(COUNTIFS(Cleaning!#REF!,"ATB1",Cleaning!#REF!,{"1","2","3","4"}))</f>
        <v>#REF!</v>
      </c>
      <c r="AF4" t="s">
        <v>1117</v>
      </c>
      <c r="AH4" s="64"/>
    </row>
    <row r="5" spans="1:37" ht="15.75" x14ac:dyDescent="0.25">
      <c r="A5" s="502"/>
      <c r="B5" s="504" t="s">
        <v>11</v>
      </c>
      <c r="C5" s="504"/>
      <c r="D5" s="504"/>
      <c r="E5" s="504"/>
      <c r="F5" s="504"/>
      <c r="G5" s="15"/>
      <c r="H5" s="46">
        <v>12</v>
      </c>
      <c r="I5" s="10"/>
      <c r="J5" s="46" t="e">
        <f ca="1">IF(MONTH($C$1)&gt;MONTH(TODAY())+55000,0,COUNTIFS(ATBCL,"ATB1",INDIRECT(VLOOKUP(MONTH($C$1),$AF$18:$AG$29,2,0),1),1)+COUNTIFS(ATBCL,"ATB1",INDIRECT(VLOOKUP(MONTH($C$1),$AF$18:$AG$29,2,0),1),2)+COUNTIFS(ATBCL,"ATB1",INDIRECT(VLOOKUP(MONTH($C$1),$AF$18:$AG$29,2,0),1),3)+COUNTIFS(ATBCL,"ATB1",INDIRECT(VLOOKUP(MONTH($C$1),$AF$18:$AG$29,2,0),1),4))</f>
        <v>#REF!</v>
      </c>
      <c r="K5" s="10"/>
      <c r="L5" s="16" t="e">
        <f ca="1">J5/H5</f>
        <v>#REF!</v>
      </c>
      <c r="M5" s="10"/>
      <c r="N5" s="16">
        <f>$F$1</f>
        <v>0.5</v>
      </c>
      <c r="O5" s="8"/>
      <c r="P5" s="46" t="e">
        <f ca="1">COUNTIFS(ATBCL,"ATB1",INDIRECT(VLOOKUP(MONTH($C$1),$AF$19:$AG$30,2,0),1),3)+COUNTIFS(ATBCL,"ATB1",INDIRECT(VLOOKUP(MONTH($C$1),$AF$19:$AG$30,2,0),1),4)</f>
        <v>#REF!</v>
      </c>
      <c r="Q5" s="10"/>
      <c r="R5" s="16" t="e">
        <f ca="1">P5/J5</f>
        <v>#REF!</v>
      </c>
      <c r="S5" s="10"/>
      <c r="T5" s="40" t="e">
        <f ca="1">P5/J5</f>
        <v>#REF!</v>
      </c>
      <c r="U5" s="13"/>
      <c r="W5" t="e" cm="1">
        <f t="array" ref="W5">SUM(COUNTIFS(Cleaning!#REF!,"ATB1",Cleaning!#REF!,{"1","2","3","4"}))</f>
        <v>#REF!</v>
      </c>
      <c r="AF5">
        <v>12</v>
      </c>
      <c r="AG5" t="s">
        <v>1118</v>
      </c>
      <c r="AH5" s="64" t="s">
        <v>1119</v>
      </c>
      <c r="AI5" t="s">
        <v>1118</v>
      </c>
    </row>
    <row r="6" spans="1:37" ht="15.75" x14ac:dyDescent="0.25">
      <c r="A6" s="502"/>
      <c r="B6" s="504" t="s">
        <v>12</v>
      </c>
      <c r="C6" s="504"/>
      <c r="D6" s="504"/>
      <c r="E6" s="504"/>
      <c r="F6" s="504"/>
      <c r="G6" s="15"/>
      <c r="H6" s="46">
        <v>9</v>
      </c>
      <c r="I6" s="10"/>
      <c r="J6" s="46" t="e">
        <f ca="1">COUNTIFS(ATBLA,"ATB1",INDIRECT(VLOOKUP(MONTH($C$1),$AF$32:$AG$43,2,0),1),1)+COUNTIFS(ATBLA,"ATB1",INDIRECT(VLOOKUP(MONTH($C$1),$AF$32:$AG$43,2,0),1),2)+COUNTIFS(ATBLA,"ATB1",INDIRECT(VLOOKUP(MONTH($C$1),$AF$32:$AG$43,2,0),1),3)+COUNTIFS(ATBLA,"ATB1",INDIRECT(VLOOKUP(MONTH($C$1),$AF$32:$AG$43,2,0),1),4)</f>
        <v>#REF!</v>
      </c>
      <c r="K6" s="10"/>
      <c r="L6" s="16" t="e">
        <f ca="1">J6/H6</f>
        <v>#REF!</v>
      </c>
      <c r="M6" s="10"/>
      <c r="N6" s="16">
        <f>$F$1</f>
        <v>0.5</v>
      </c>
      <c r="O6" s="8"/>
      <c r="P6" s="46" t="e">
        <f ca="1">COUNTIFS(ATBLA,"ATB1",INDIRECT(VLOOKUP(MONTH($C$1),$AF$33:$AG$44,2,0),1),3)+COUNTIFS(ATBLA,"ATB1",INDIRECT(VLOOKUP(MONTH($C$1),$AF$33:$AG$44,2,0),1),4)</f>
        <v>#REF!</v>
      </c>
      <c r="Q6" s="10"/>
      <c r="R6" s="16" t="e">
        <f ca="1">P6/J6</f>
        <v>#REF!</v>
      </c>
      <c r="S6" s="10"/>
      <c r="T6" s="40" t="e">
        <f ca="1">P6/J6</f>
        <v>#REF!</v>
      </c>
      <c r="U6" s="13"/>
      <c r="W6" t="e" cm="1">
        <f t="array" ref="W6">SUM(COUNTIFS(#REF!,"ATB1",#REF!,{"1","2","3","4"}))</f>
        <v>#REF!</v>
      </c>
      <c r="AF6">
        <v>8</v>
      </c>
      <c r="AG6" t="s">
        <v>1120</v>
      </c>
      <c r="AH6" s="64" t="s">
        <v>1121</v>
      </c>
      <c r="AI6" t="s">
        <v>1120</v>
      </c>
    </row>
    <row r="7" spans="1:37" x14ac:dyDescent="0.25">
      <c r="A7" s="503"/>
      <c r="B7" s="504" t="s">
        <v>13</v>
      </c>
      <c r="C7" s="504"/>
      <c r="D7" s="504"/>
      <c r="E7" s="504"/>
      <c r="F7" s="504"/>
      <c r="G7" s="8"/>
      <c r="H7" s="46">
        <f>H4+H5+H6</f>
        <v>32</v>
      </c>
      <c r="I7" s="10"/>
      <c r="J7" s="46" t="e">
        <f ca="1">J4+J5+J6</f>
        <v>#REF!</v>
      </c>
      <c r="K7" s="10"/>
      <c r="L7" s="16" t="e">
        <f ca="1">J7/H7</f>
        <v>#REF!</v>
      </c>
      <c r="M7" s="10"/>
      <c r="N7" s="16">
        <f>$F$1</f>
        <v>0.5</v>
      </c>
      <c r="O7" s="8"/>
      <c r="P7" s="46" t="e">
        <f ca="1">SUM(P4:P6)</f>
        <v>#REF!</v>
      </c>
      <c r="Q7" s="10"/>
      <c r="R7" s="16" t="e">
        <f ca="1">P7/J7</f>
        <v>#REF!</v>
      </c>
      <c r="S7" s="10"/>
      <c r="T7" s="40" t="e">
        <f ca="1">P7/J7</f>
        <v>#REF!</v>
      </c>
      <c r="U7" s="13"/>
      <c r="AF7">
        <v>4</v>
      </c>
      <c r="AG7" t="s">
        <v>1122</v>
      </c>
      <c r="AH7" s="64" t="s">
        <v>1123</v>
      </c>
      <c r="AI7" t="s">
        <v>1122</v>
      </c>
    </row>
    <row r="8" spans="1:37" x14ac:dyDescent="0.25">
      <c r="A8" s="13"/>
      <c r="B8" s="13"/>
      <c r="C8" s="13"/>
      <c r="D8" s="13"/>
      <c r="E8" s="13"/>
      <c r="F8" s="13"/>
      <c r="G8" s="13"/>
      <c r="H8" s="17"/>
      <c r="I8" s="13"/>
      <c r="J8" s="17"/>
      <c r="K8" s="13"/>
      <c r="L8" s="14"/>
      <c r="M8" s="13"/>
      <c r="N8" s="14"/>
      <c r="O8" s="13"/>
      <c r="P8" s="17"/>
      <c r="Q8" s="13"/>
      <c r="R8" s="13"/>
      <c r="S8" s="13"/>
      <c r="T8" s="13"/>
      <c r="U8" s="13"/>
      <c r="AF8">
        <v>2</v>
      </c>
      <c r="AG8" t="s">
        <v>1178</v>
      </c>
      <c r="AH8" s="64" t="s">
        <v>1179</v>
      </c>
      <c r="AI8" t="s">
        <v>1178</v>
      </c>
    </row>
    <row r="9" spans="1:37" ht="15.75" x14ac:dyDescent="0.25">
      <c r="A9" s="502" t="s">
        <v>14</v>
      </c>
      <c r="B9" s="504" t="s">
        <v>10</v>
      </c>
      <c r="C9" s="504"/>
      <c r="D9" s="504"/>
      <c r="E9" s="504"/>
      <c r="F9" s="504"/>
      <c r="G9" s="15"/>
      <c r="H9" s="46">
        <v>5</v>
      </c>
      <c r="I9" s="10"/>
      <c r="J9" s="46" t="e">
        <f ca="1">IF(MONTH($C$1)&gt;MONTH(TODAY())+55000,"0",COUNTIFS(ATBCL,"ATB2",INDIRECT(VLOOKUP(MONTH($C$1),$AF$4:$AG$15,2,0),1),1)+COUNTIFS(ATBCL,"ATB2",INDIRECT(VLOOKUP(MONTH($C$1),$AF$4:$AG$15,2,0),1),2)+COUNTIFS(ATBCL,"ATB2",INDIRECT(VLOOKUP(MONTH($C$1),$AF$4:$AG$15,2,0),1),3)+COUNTIFS(ATBCL,"ATB2",INDIRECT(VLOOKUP(MONTH($C$1),$AF$4:$AG$15,2,0),1),4))</f>
        <v>#REF!</v>
      </c>
      <c r="K9" s="10"/>
      <c r="L9" s="16" t="e">
        <f ca="1">J9/H9</f>
        <v>#REF!</v>
      </c>
      <c r="M9" s="10"/>
      <c r="N9" s="16">
        <f>$F$1</f>
        <v>0.5</v>
      </c>
      <c r="O9" s="8"/>
      <c r="P9" s="46" t="e">
        <f ca="1">COUNTIFS(ATBCL,"ATB2",INDIRECT(VLOOKUP(MONTH($C$1),$AF$5:$AG$16,2,0),1),3)+COUNTIFS(ATBCL,"ATB2",INDIRECT(VLOOKUP(MONTH($C$1),$AF$5:$AG$16,2,0),1),4)</f>
        <v>#REF!</v>
      </c>
      <c r="Q9" s="10"/>
      <c r="R9" s="16" t="e">
        <f ca="1">P9/J9</f>
        <v>#REF!</v>
      </c>
      <c r="S9" s="10"/>
      <c r="T9" s="40" t="e">
        <f ca="1">P9/J9</f>
        <v>#REF!</v>
      </c>
      <c r="U9" s="8"/>
      <c r="W9" t="e" cm="1">
        <f t="array" ref="W9">SUM(COUNTIFS(Cleaning!#REF!,"ATB2",Cleaning!#REF!,{"1","2","3","4"}))</f>
        <v>#REF!</v>
      </c>
      <c r="AF9">
        <v>1</v>
      </c>
      <c r="AG9" t="str">
        <f t="shared" ref="AG9:AG16" si="0">AI9</f>
        <v>IntJan16</v>
      </c>
      <c r="AH9" t="s">
        <v>1124</v>
      </c>
      <c r="AI9" t="s">
        <v>1125</v>
      </c>
    </row>
    <row r="10" spans="1:37" ht="15.75" x14ac:dyDescent="0.25">
      <c r="A10" s="502"/>
      <c r="B10" s="504" t="s">
        <v>11</v>
      </c>
      <c r="C10" s="504"/>
      <c r="D10" s="504"/>
      <c r="E10" s="504"/>
      <c r="F10" s="504"/>
      <c r="G10" s="15"/>
      <c r="H10" s="46">
        <v>6</v>
      </c>
      <c r="I10" s="10"/>
      <c r="J10" s="46" t="e">
        <f ca="1">IF(MONTH($C$1)&gt;MONTH(TODAY())+55000,0,COUNTIFS(ATBCL,"ATB2",INDIRECT(VLOOKUP(MONTH($C$1),$AF$18:$AG$29,2,0),1),1)+COUNTIFS(ATBCL,"ATB2",INDIRECT(VLOOKUP(MONTH($C$1),$AF$18:$AG$29,2,0),1),2)+COUNTIFS(ATBCL,"ATB2",INDIRECT(VLOOKUP(MONTH($C$1),$AF$18:$AG$29,2,0),1),3)+COUNTIFS(ATBCL,"ATB2",INDIRECT(VLOOKUP(MONTH($C$1),$AF$18:$AG$29,2,0),1),4))</f>
        <v>#REF!</v>
      </c>
      <c r="K10" s="10"/>
      <c r="L10" s="16" t="e">
        <f ca="1">J10/H10</f>
        <v>#REF!</v>
      </c>
      <c r="M10" s="10"/>
      <c r="N10" s="16">
        <f>$F$1</f>
        <v>0.5</v>
      </c>
      <c r="O10" s="8"/>
      <c r="P10" s="46" t="e">
        <f ca="1">COUNTIFS(ATBCL,"ATB2",INDIRECT(VLOOKUP(MONTH($C$1),$AF$19:$AG$30,2,0),1),3)+COUNTIFS(ATBCL,"ATB2",INDIRECT(VLOOKUP(MONTH($C$1),$AF$19:$AG$30,2,0),1),4)</f>
        <v>#REF!</v>
      </c>
      <c r="Q10" s="10"/>
      <c r="R10" s="16" t="e">
        <f ca="1">P10/J10</f>
        <v>#REF!</v>
      </c>
      <c r="S10" s="10"/>
      <c r="T10" s="40" t="e">
        <f ca="1">P10/J10</f>
        <v>#REF!</v>
      </c>
      <c r="U10" s="8"/>
      <c r="W10" t="e" cm="1">
        <f t="array" ref="W10">SUM(COUNTIFS(Cleaning!#REF!,"ATB2",Cleaning!#REF!,{"1","2","3","4"}))</f>
        <v>#REF!</v>
      </c>
      <c r="AF10">
        <v>7</v>
      </c>
      <c r="AG10" t="str">
        <f t="shared" si="0"/>
        <v>IntJuly15</v>
      </c>
      <c r="AH10" t="s">
        <v>1126</v>
      </c>
      <c r="AI10" t="s">
        <v>1127</v>
      </c>
      <c r="AK10" t="s">
        <v>3</v>
      </c>
    </row>
    <row r="11" spans="1:37" ht="15.75" x14ac:dyDescent="0.25">
      <c r="A11" s="502"/>
      <c r="B11" s="504" t="s">
        <v>12</v>
      </c>
      <c r="C11" s="504"/>
      <c r="D11" s="504"/>
      <c r="E11" s="504"/>
      <c r="F11" s="504"/>
      <c r="G11" s="15"/>
      <c r="H11" s="46">
        <v>3</v>
      </c>
      <c r="I11" s="10"/>
      <c r="J11" s="46" t="e">
        <f ca="1">COUNTIFS(ATBLA,"ATB2",INDIRECT(VLOOKUP(MONTH($C$1),$AF$32:$AG$43,2,0),1),1)+COUNTIFS(ATBLA,"ATB2",INDIRECT(VLOOKUP(MONTH($C$1),$AF$32:$AG$43,2,0),1),2)+COUNTIFS(ATBLA,"ATB2",INDIRECT(VLOOKUP(MONTH($C$1),$AF$32:$AG$43,2,0),1),3)+COUNTIFS(ATBLA,"ATB2",INDIRECT(VLOOKUP(MONTH($C$1),$AF$32:$AG$43,2,0),1),4)</f>
        <v>#REF!</v>
      </c>
      <c r="K11" s="10"/>
      <c r="L11" s="16" t="e">
        <f ca="1">J11/H11</f>
        <v>#REF!</v>
      </c>
      <c r="M11" s="10"/>
      <c r="N11" s="16">
        <f>$F$1</f>
        <v>0.5</v>
      </c>
      <c r="O11" s="8"/>
      <c r="P11" s="46" t="e">
        <f ca="1">COUNTIFS(ATBLA,"ATB2",INDIRECT(VLOOKUP(MONTH($C$1),$AF$33:$AG$44,2,0),1),3)+COUNTIFS(ATBLA,"ATB2",INDIRECT(VLOOKUP(MONTH($C$1),$AF$33:$AG$44,2,0),1),4)</f>
        <v>#REF!</v>
      </c>
      <c r="Q11" s="10"/>
      <c r="R11" s="16" t="e">
        <f ca="1">P11/J11</f>
        <v>#REF!</v>
      </c>
      <c r="S11" s="10"/>
      <c r="T11" s="40" t="e">
        <f ca="1">P11/J11</f>
        <v>#REF!</v>
      </c>
      <c r="U11" s="8"/>
      <c r="W11" t="e" cm="1">
        <f t="array" ref="W11">SUM(COUNTIFS(#REF!,"ATB2",#REF!,{"1","2","3","4"}))</f>
        <v>#REF!</v>
      </c>
      <c r="AF11">
        <v>6</v>
      </c>
      <c r="AG11" t="str">
        <f t="shared" si="0"/>
        <v>IntJune15</v>
      </c>
      <c r="AH11" t="s">
        <v>1128</v>
      </c>
      <c r="AI11" t="s">
        <v>1129</v>
      </c>
    </row>
    <row r="12" spans="1:37" x14ac:dyDescent="0.25">
      <c r="A12" s="503"/>
      <c r="B12" s="504" t="s">
        <v>13</v>
      </c>
      <c r="C12" s="504"/>
      <c r="D12" s="504"/>
      <c r="E12" s="504"/>
      <c r="F12" s="504"/>
      <c r="G12" s="8"/>
      <c r="H12" s="46">
        <f>H9+H10+H11</f>
        <v>14</v>
      </c>
      <c r="I12" s="10"/>
      <c r="J12" s="46" t="e">
        <f ca="1">J9+J10+J11</f>
        <v>#REF!</v>
      </c>
      <c r="K12" s="10"/>
      <c r="L12" s="16" t="e">
        <f ca="1">J12/H12</f>
        <v>#REF!</v>
      </c>
      <c r="M12" s="10"/>
      <c r="N12" s="16">
        <f>$F$1</f>
        <v>0.5</v>
      </c>
      <c r="O12" s="8"/>
      <c r="P12" s="46" t="e">
        <f ca="1">SUM(P9:P11)</f>
        <v>#REF!</v>
      </c>
      <c r="Q12" s="10"/>
      <c r="R12" s="16" t="e">
        <f ca="1">P12/J12</f>
        <v>#REF!</v>
      </c>
      <c r="S12" s="10"/>
      <c r="T12" s="40" t="e">
        <f ca="1">P12/J12</f>
        <v>#REF!</v>
      </c>
      <c r="U12" s="8"/>
      <c r="AF12">
        <v>3</v>
      </c>
      <c r="AG12" t="str">
        <f t="shared" si="0"/>
        <v>IntMar16</v>
      </c>
      <c r="AH12" t="s">
        <v>1130</v>
      </c>
      <c r="AI12" t="s">
        <v>1131</v>
      </c>
    </row>
    <row r="13" spans="1:37" x14ac:dyDescent="0.25">
      <c r="A13" s="8"/>
      <c r="B13" s="8"/>
      <c r="C13" s="8"/>
      <c r="D13" s="8"/>
      <c r="E13" s="8"/>
      <c r="F13" s="8"/>
      <c r="G13" s="8"/>
      <c r="H13" s="47"/>
      <c r="I13" s="10"/>
      <c r="J13" s="47"/>
      <c r="K13" s="10"/>
      <c r="L13" s="11"/>
      <c r="M13" s="10"/>
      <c r="N13" s="11"/>
      <c r="O13" s="8"/>
      <c r="P13" s="47"/>
      <c r="Q13" s="10"/>
      <c r="R13" s="10"/>
      <c r="S13" s="10"/>
      <c r="T13" s="10"/>
      <c r="U13" s="8"/>
      <c r="AF13">
        <v>5</v>
      </c>
      <c r="AG13" t="str">
        <f t="shared" si="0"/>
        <v>IntMay15</v>
      </c>
      <c r="AH13" t="s">
        <v>1180</v>
      </c>
      <c r="AI13" t="s">
        <v>1181</v>
      </c>
    </row>
    <row r="14" spans="1:37" ht="15.75" x14ac:dyDescent="0.25">
      <c r="A14" s="505" t="s">
        <v>15</v>
      </c>
      <c r="B14" s="504" t="s">
        <v>10</v>
      </c>
      <c r="C14" s="504"/>
      <c r="D14" s="504"/>
      <c r="E14" s="504"/>
      <c r="F14" s="504"/>
      <c r="G14" s="15"/>
      <c r="H14" s="46">
        <v>22</v>
      </c>
      <c r="I14" s="10"/>
      <c r="J14" s="46" t="e">
        <f ca="1">IF(MONTH($C$1)&gt;MONTH(TODAY())+55000,"0",COUNTIFS(ATBCL,"ATB3",INDIRECT(VLOOKUP(MONTH($C$1),$AF$4:$AG$15,2,0),1),1)+COUNTIFS(ATBCL,"ATB3",INDIRECT(VLOOKUP(MONTH($C$1),$AF$4:$AG$15,2,0),1),2)+COUNTIFS(ATBCL,"ATB3",INDIRECT(VLOOKUP(MONTH($C$1),$AF$4:$AG$15,2,0),1),3)+COUNTIFS(ATBCL,"ATB3",INDIRECT(VLOOKUP(MONTH($C$1),$AF$4:$AG$15,2,0),1),4))</f>
        <v>#REF!</v>
      </c>
      <c r="K14" s="10"/>
      <c r="L14" s="16" t="e">
        <f ca="1">J14/H14</f>
        <v>#REF!</v>
      </c>
      <c r="M14" s="10"/>
      <c r="N14" s="16">
        <f>$F$1</f>
        <v>0.5</v>
      </c>
      <c r="O14" s="8"/>
      <c r="P14" s="46" t="e">
        <f ca="1">COUNTIFS(ATBCL,"ATB3",INDIRECT(VLOOKUP(MONTH($C$1),$AF$5:$AG$16,2,0),1),3)+COUNTIFS(ATBCL,"ATB3",INDIRECT(VLOOKUP(MONTH($C$1),$AF$5:$AG$16,2,0),1),4)</f>
        <v>#REF!</v>
      </c>
      <c r="Q14" s="10"/>
      <c r="R14" s="16" t="e">
        <f ca="1">P14/J14</f>
        <v>#REF!</v>
      </c>
      <c r="S14" s="10"/>
      <c r="T14" s="40" t="e">
        <f ca="1">P14/J14</f>
        <v>#REF!</v>
      </c>
      <c r="U14" s="8"/>
      <c r="W14" t="e" cm="1">
        <f t="array" ref="W14">SUM(COUNTIFS(Cleaning!#REF!,"ATB3",Cleaning!#REF!,{"1","2","3","4"}))</f>
        <v>#REF!</v>
      </c>
      <c r="AF14">
        <v>11</v>
      </c>
      <c r="AG14" t="str">
        <f t="shared" si="0"/>
        <v>IntNov15</v>
      </c>
      <c r="AH14" t="s">
        <v>1132</v>
      </c>
      <c r="AI14" t="s">
        <v>1133</v>
      </c>
    </row>
    <row r="15" spans="1:37" ht="15.75" x14ac:dyDescent="0.25">
      <c r="A15" s="505"/>
      <c r="B15" s="504" t="s">
        <v>11</v>
      </c>
      <c r="C15" s="504"/>
      <c r="D15" s="504"/>
      <c r="E15" s="504"/>
      <c r="F15" s="504"/>
      <c r="G15" s="15"/>
      <c r="H15" s="46">
        <v>21</v>
      </c>
      <c r="I15" s="10"/>
      <c r="J15" s="46" t="e">
        <f ca="1">IF(MONTH($C$1)&gt;MONTH(TODAY())+55000,0,COUNTIFS(ATBCL,"ATB3",INDIRECT(VLOOKUP(MONTH($C$1),$AF$18:$AG$29,2,0),1),1)+COUNTIFS(ATBCL,"ATB3",INDIRECT(VLOOKUP(MONTH($C$1),$AF$18:$AG$29,2,0),1),2)+COUNTIFS(ATBCL,"ATB3",INDIRECT(VLOOKUP(MONTH($C$1),$AF$18:$AG$29,2,0),1),3)+COUNTIFS(ATBCL,"ATB3",INDIRECT(VLOOKUP(MONTH($C$1),$AF$18:$AG$29,2,0),1),4))</f>
        <v>#REF!</v>
      </c>
      <c r="K15" s="10"/>
      <c r="L15" s="16" t="e">
        <f ca="1">J15/H15</f>
        <v>#REF!</v>
      </c>
      <c r="M15" s="10"/>
      <c r="N15" s="16">
        <f>$F$1</f>
        <v>0.5</v>
      </c>
      <c r="O15" s="8"/>
      <c r="P15" s="46" t="e">
        <f ca="1">COUNTIFS(ATBCL,"ATB3",INDIRECT(VLOOKUP(MONTH($C$1),$AF$19:$AG$30,2,0),1),3)+COUNTIFS(ATBCL,"ATB3",INDIRECT(VLOOKUP(MONTH($C$1),$AF$19:$AG$30,2,0),1),4)</f>
        <v>#REF!</v>
      </c>
      <c r="Q15" s="10"/>
      <c r="R15" s="16" t="e">
        <f ca="1">P15/J15</f>
        <v>#REF!</v>
      </c>
      <c r="S15" s="10"/>
      <c r="T15" s="40" t="e">
        <f ca="1">P15/J15</f>
        <v>#REF!</v>
      </c>
      <c r="U15" s="8"/>
      <c r="W15" t="e" cm="1">
        <f t="array" ref="W15">SUM(COUNTIFS(Cleaning!#REF!,"ATB3",Cleaning!#REF!,{"1","2","3","4"}))</f>
        <v>#REF!</v>
      </c>
      <c r="AF15">
        <v>10</v>
      </c>
      <c r="AG15" t="str">
        <f t="shared" si="0"/>
        <v>IntOct15</v>
      </c>
      <c r="AH15" t="s">
        <v>1134</v>
      </c>
      <c r="AI15" t="s">
        <v>1135</v>
      </c>
    </row>
    <row r="16" spans="1:37" ht="15.75" x14ac:dyDescent="0.25">
      <c r="A16" s="505"/>
      <c r="B16" s="504" t="s">
        <v>12</v>
      </c>
      <c r="C16" s="504"/>
      <c r="D16" s="504"/>
      <c r="E16" s="504"/>
      <c r="F16" s="504"/>
      <c r="G16" s="15"/>
      <c r="H16" s="46">
        <v>22</v>
      </c>
      <c r="I16" s="10"/>
      <c r="J16" s="46" t="e">
        <f ca="1">COUNTIFS(ATBLA,"ATB3",INDIRECT(VLOOKUP(MONTH($C$1),$AF$32:$AG$43,2,0),1),1)+COUNTIFS(ATBLA,"ATB3",INDIRECT(VLOOKUP(MONTH($C$1),$AF$32:$AG$43,2,0),1),2)+COUNTIFS(ATBLA,"ATB3",INDIRECT(VLOOKUP(MONTH($C$1),$AF$32:$AG$43,2,0),1),3)+COUNTIFS(ATBLA,"ATB3",INDIRECT(VLOOKUP(MONTH($C$1),$AF$32:$AG$43,2,0),1),4)</f>
        <v>#REF!</v>
      </c>
      <c r="K16" s="10"/>
      <c r="L16" s="16" t="e">
        <f ca="1">J16/H16</f>
        <v>#REF!</v>
      </c>
      <c r="M16" s="10"/>
      <c r="N16" s="16">
        <f>$F$1</f>
        <v>0.5</v>
      </c>
      <c r="O16" s="8"/>
      <c r="P16" s="46" t="e">
        <f ca="1">COUNTIFS(ATBLA,"ATB3",INDIRECT(VLOOKUP(MONTH($C$1),$AF$33:$AG$44,2,0),1),3)+COUNTIFS(ATBLA,"ATB3",INDIRECT(VLOOKUP(MONTH($C$1),$AF$33:$AG$44,2,0),1),4)</f>
        <v>#REF!</v>
      </c>
      <c r="Q16" s="10"/>
      <c r="R16" s="16" t="e">
        <f ca="1">P16/J16</f>
        <v>#REF!</v>
      </c>
      <c r="S16" s="10"/>
      <c r="T16" s="40" t="e">
        <f ca="1">P16/J16</f>
        <v>#REF!</v>
      </c>
      <c r="U16" s="8"/>
      <c r="W16" t="e" cm="1">
        <f t="array" ref="W16">SUM(COUNTIFS(#REF!,"ATB3",#REF!,{"1","2","3","4"}))</f>
        <v>#REF!</v>
      </c>
      <c r="AF16">
        <v>9</v>
      </c>
      <c r="AG16" t="str">
        <f t="shared" si="0"/>
        <v>IntSept15</v>
      </c>
      <c r="AH16" t="s">
        <v>1136</v>
      </c>
      <c r="AI16" t="s">
        <v>1137</v>
      </c>
    </row>
    <row r="17" spans="1:35" x14ac:dyDescent="0.25">
      <c r="A17" s="506"/>
      <c r="B17" s="504" t="s">
        <v>13</v>
      </c>
      <c r="C17" s="504"/>
      <c r="D17" s="504"/>
      <c r="E17" s="504"/>
      <c r="F17" s="504"/>
      <c r="G17" s="8"/>
      <c r="H17" s="46">
        <f>H14+H15+H16</f>
        <v>65</v>
      </c>
      <c r="I17" s="10"/>
      <c r="J17" s="46" t="e">
        <f ca="1">J14+J15+J16</f>
        <v>#REF!</v>
      </c>
      <c r="K17" s="10"/>
      <c r="L17" s="16" t="e">
        <f ca="1">J17/H17</f>
        <v>#REF!</v>
      </c>
      <c r="M17" s="10"/>
      <c r="N17" s="16">
        <f>$F$1</f>
        <v>0.5</v>
      </c>
      <c r="O17" s="8"/>
      <c r="P17" s="46" t="e">
        <f ca="1">SUM(P14:P16)</f>
        <v>#REF!</v>
      </c>
      <c r="Q17" s="10"/>
      <c r="R17" s="16" t="e">
        <f ca="1">P17/J17</f>
        <v>#REF!</v>
      </c>
      <c r="S17" s="10"/>
      <c r="T17" s="40" t="e">
        <f ca="1">P17/J17</f>
        <v>#REF!</v>
      </c>
      <c r="U17" s="8"/>
    </row>
    <row r="18" spans="1:35" x14ac:dyDescent="0.25">
      <c r="A18" s="8"/>
      <c r="B18" s="8"/>
      <c r="C18" s="8"/>
      <c r="D18" s="8"/>
      <c r="E18" s="8"/>
      <c r="F18" s="8"/>
      <c r="G18" s="8"/>
      <c r="H18" s="47"/>
      <c r="I18" s="10"/>
      <c r="J18" s="47"/>
      <c r="K18" s="10"/>
      <c r="L18" s="11"/>
      <c r="M18" s="10"/>
      <c r="N18" s="11"/>
      <c r="O18" s="8"/>
      <c r="P18" s="47"/>
      <c r="Q18" s="10"/>
      <c r="R18" s="10"/>
      <c r="S18" s="10"/>
      <c r="T18" s="10"/>
      <c r="U18" s="8"/>
      <c r="AF18" t="s">
        <v>1182</v>
      </c>
    </row>
    <row r="19" spans="1:35" ht="15.75" x14ac:dyDescent="0.25">
      <c r="A19" s="502" t="s">
        <v>16</v>
      </c>
      <c r="B19" s="504" t="s">
        <v>10</v>
      </c>
      <c r="C19" s="504"/>
      <c r="D19" s="504"/>
      <c r="E19" s="504"/>
      <c r="F19" s="504"/>
      <c r="G19" s="15"/>
      <c r="H19" s="46">
        <v>9</v>
      </c>
      <c r="I19" s="10"/>
      <c r="J19" s="46" t="e">
        <f ca="1">IF(MONTH($C$1)&gt;MONTH(TODAY())+55000,"0",COUNTIFS(ATBCL,"ATB4",INDIRECT(VLOOKUP(MONTH($C$1),$AF$4:$AG$15,2,0),1),1)+COUNTIFS(ATBCL,"ATB4",INDIRECT(VLOOKUP(MONTH($C$1),$AF$4:$AG$15,2,0),1),2)+COUNTIFS(ATBCL,"ATB4",INDIRECT(VLOOKUP(MONTH($C$1),$AF$4:$AG$15,2,0),1),3)+COUNTIFS(ATBCL,"ATB4",INDIRECT(VLOOKUP(MONTH($C$1),$AF$4:$AG$15,2,0),1),4))</f>
        <v>#REF!</v>
      </c>
      <c r="K19" s="10"/>
      <c r="L19" s="16" t="e">
        <f ca="1">J19/H19</f>
        <v>#REF!</v>
      </c>
      <c r="M19" s="10"/>
      <c r="N19" s="16">
        <f>$F$1</f>
        <v>0.5</v>
      </c>
      <c r="O19" s="8"/>
      <c r="P19" s="46" t="e">
        <f ca="1">COUNTIFS(ATBCL,"ATB4",INDIRECT(VLOOKUP(MONTH($C$1),$AF$5:$AG$16,2,0),1),3)+COUNTIFS(ATBCL,"ATB4",INDIRECT(VLOOKUP(MONTH($C$1),$AF$5:$AG$16,2,0),1),4)</f>
        <v>#REF!</v>
      </c>
      <c r="Q19" s="10"/>
      <c r="R19" s="16" t="e">
        <f ca="1">P19/J19</f>
        <v>#REF!</v>
      </c>
      <c r="S19" s="10"/>
      <c r="T19" s="40" t="e">
        <f ca="1">P19/J19</f>
        <v>#REF!</v>
      </c>
      <c r="U19" s="8"/>
      <c r="W19" t="e" cm="1">
        <f t="array" ref="W19">SUM(COUNTIFS(Cleaning!#REF!,"ATB4",Cleaning!#REF!,{"1","2","3","4"}))</f>
        <v>#REF!</v>
      </c>
      <c r="AE19" s="64" t="e">
        <f ca="1">IF(MONTH($C$1)&gt;MONTH(TODAY()),0,COUNTIFS(ATBCL,"ATB1")-COUNTIFS(ATBCL,"ATB1",INDIRECT(VLOOKUP(MONTH($C$1),$AF$19:$AG$30,2,0),1),"NV")-COUNTIFS(ATBCL,"ATB1",INDIRECT(VLOOKUP(MONTH($C$1),$AF$19:$AG$30,2,0),1),#N/A))</f>
        <v>#REF!</v>
      </c>
      <c r="AF19">
        <v>4</v>
      </c>
      <c r="AG19" t="str">
        <f>AI19</f>
        <v>ExtApr15</v>
      </c>
      <c r="AH19" t="s">
        <v>1138</v>
      </c>
      <c r="AI19" t="s">
        <v>1139</v>
      </c>
    </row>
    <row r="20" spans="1:35" ht="15.75" x14ac:dyDescent="0.25">
      <c r="A20" s="502"/>
      <c r="B20" s="504" t="s">
        <v>11</v>
      </c>
      <c r="C20" s="504"/>
      <c r="D20" s="504"/>
      <c r="E20" s="504"/>
      <c r="F20" s="504"/>
      <c r="G20" s="15"/>
      <c r="H20" s="46">
        <v>12</v>
      </c>
      <c r="I20" s="10"/>
      <c r="J20" s="46" t="e">
        <f ca="1">IF(MONTH($C$1)&gt;MONTH(TODAY())+55000,0,COUNTIFS(ATBCL,"ATB4",INDIRECT(VLOOKUP(MONTH($C$1),$AF$18:$AG$29,2,0),1),1)+COUNTIFS(ATBCL,"ATB4",INDIRECT(VLOOKUP(MONTH($C$1),$AF$18:$AG$29,2,0),1),2)+COUNTIFS(ATBCL,"ATB4",INDIRECT(VLOOKUP(MONTH($C$1),$AF$18:$AG$29,2,0),1),3)+COUNTIFS(ATBCL,"ATB4",INDIRECT(VLOOKUP(MONTH($C$1),$AF$18:$AG$29,2,0),1),4))</f>
        <v>#REF!</v>
      </c>
      <c r="K20" s="10"/>
      <c r="L20" s="16" t="e">
        <f ca="1">J20/H20</f>
        <v>#REF!</v>
      </c>
      <c r="M20" s="10"/>
      <c r="N20" s="16">
        <f>$F$1</f>
        <v>0.5</v>
      </c>
      <c r="O20" s="8"/>
      <c r="P20" s="46" t="e">
        <f ca="1">COUNTIFS(ATBCL,"ATB4",INDIRECT(VLOOKUP(MONTH($C$1),$AF$19:$AG$30,2,0),1),3)+COUNTIFS(ATBCL,"ATB4",INDIRECT(VLOOKUP(MONTH($C$1),$AF$19:$AG$30,2,0),1),4)</f>
        <v>#REF!</v>
      </c>
      <c r="Q20" s="10"/>
      <c r="R20" s="16" t="e">
        <f ca="1">P20/J20</f>
        <v>#REF!</v>
      </c>
      <c r="S20" s="10"/>
      <c r="T20" s="40" t="e">
        <f ca="1">P20/J20</f>
        <v>#REF!</v>
      </c>
      <c r="U20" s="8"/>
      <c r="W20" t="e" cm="1">
        <f t="array" ref="W20">SUM(COUNTIFS(Cleaning!#REF!,"ATB4",Cleaning!#REF!,{"1","2","3","4"}))</f>
        <v>#REF!</v>
      </c>
      <c r="AE20" s="64" t="e">
        <f ca="1">COUNTIFS(ATBCL,"ATB1",INDIRECT(VLOOKUP(MONTH($C$1),$AF$19:$AG$30,2,0),1),3)+COUNTIFS(ATBCL,"ATB1",INDIRECT(VLOOKUP(MONTH($C$1),$AF$19:$AG$30,2,0),1),4)</f>
        <v>#REF!</v>
      </c>
      <c r="AF20">
        <v>8</v>
      </c>
      <c r="AG20" t="str">
        <f t="shared" ref="AG20:AG30" si="1">AI20</f>
        <v>ExtAug15</v>
      </c>
      <c r="AH20" t="s">
        <v>1140</v>
      </c>
      <c r="AI20" t="s">
        <v>1141</v>
      </c>
    </row>
    <row r="21" spans="1:35" ht="15.75" x14ac:dyDescent="0.25">
      <c r="A21" s="502"/>
      <c r="B21" s="504" t="s">
        <v>12</v>
      </c>
      <c r="C21" s="504"/>
      <c r="D21" s="504"/>
      <c r="E21" s="504"/>
      <c r="F21" s="504"/>
      <c r="G21" s="15"/>
      <c r="H21" s="46">
        <v>12</v>
      </c>
      <c r="I21" s="10"/>
      <c r="J21" s="46" t="e">
        <f ca="1">COUNTIFS(ATBLA,"ATB4",INDIRECT(VLOOKUP(MONTH($C$1),$AF$32:$AG$43,2,0),1),1)+COUNTIFS(ATBLA,"ATB4",INDIRECT(VLOOKUP(MONTH($C$1),$AF$32:$AG$43,2,0),1),2)+COUNTIFS(ATBLA,"ATB4",INDIRECT(VLOOKUP(MONTH($C$1),$AF$32:$AG$43,2,0),1),3)+COUNTIFS(ATBLA,"ATB4",INDIRECT(VLOOKUP(MONTH($C$1),$AF$32:$AG$43,2,0),1),4)</f>
        <v>#REF!</v>
      </c>
      <c r="K21" s="10"/>
      <c r="L21" s="16" t="e">
        <f ca="1">J21/H21</f>
        <v>#REF!</v>
      </c>
      <c r="M21" s="10"/>
      <c r="N21" s="16">
        <f>$F$1</f>
        <v>0.5</v>
      </c>
      <c r="O21" s="8"/>
      <c r="P21" s="46" t="e">
        <f ca="1">COUNTIFS(ATBLA,"ATB4",INDIRECT(VLOOKUP(MONTH($C$1),$AF$33:$AG$44,2,0),1),3)+COUNTIFS(ATBLA,"ATB4",INDIRECT(VLOOKUP(MONTH($C$1),$AF$33:$AG$44,2,0),1),4)</f>
        <v>#REF!</v>
      </c>
      <c r="Q21" s="10"/>
      <c r="R21" s="16" t="e">
        <f ca="1">P21/J21</f>
        <v>#REF!</v>
      </c>
      <c r="S21" s="10"/>
      <c r="T21" s="40" t="e">
        <f ca="1">P21/J21</f>
        <v>#REF!</v>
      </c>
      <c r="U21" s="8"/>
      <c r="W21" t="e" cm="1">
        <f t="array" ref="W21">SUM(COUNTIFS(#REF!,"ATB4",#REF!,{"1","2","3","4"}))</f>
        <v>#REF!</v>
      </c>
      <c r="AF21">
        <v>12</v>
      </c>
      <c r="AG21" t="str">
        <f t="shared" si="1"/>
        <v>ExtDec15</v>
      </c>
      <c r="AH21" t="s">
        <v>1142</v>
      </c>
      <c r="AI21" t="s">
        <v>1143</v>
      </c>
    </row>
    <row r="22" spans="1:35" x14ac:dyDescent="0.25">
      <c r="A22" s="503"/>
      <c r="B22" s="504" t="s">
        <v>13</v>
      </c>
      <c r="C22" s="504"/>
      <c r="D22" s="504"/>
      <c r="E22" s="504"/>
      <c r="F22" s="504"/>
      <c r="G22" s="8"/>
      <c r="H22" s="46">
        <f>H19+H20+H21</f>
        <v>33</v>
      </c>
      <c r="I22" s="10"/>
      <c r="J22" s="46" t="e">
        <f ca="1">J19+J20+J21</f>
        <v>#REF!</v>
      </c>
      <c r="K22" s="10"/>
      <c r="L22" s="16" t="e">
        <f ca="1">J22/H22</f>
        <v>#REF!</v>
      </c>
      <c r="M22" s="10"/>
      <c r="N22" s="16">
        <f>$F$1</f>
        <v>0.5</v>
      </c>
      <c r="O22" s="8"/>
      <c r="P22" s="46" t="e">
        <f ca="1">SUM(P19:P21)</f>
        <v>#REF!</v>
      </c>
      <c r="Q22" s="10"/>
      <c r="R22" s="16" t="e">
        <f ca="1">P22/J22</f>
        <v>#REF!</v>
      </c>
      <c r="S22" s="10"/>
      <c r="T22" s="40" t="e">
        <f ca="1">P22/J22</f>
        <v>#REF!</v>
      </c>
      <c r="U22" s="8"/>
      <c r="AF22">
        <v>2</v>
      </c>
      <c r="AG22" t="str">
        <f t="shared" si="1"/>
        <v>ExtFeb16</v>
      </c>
      <c r="AH22" t="s">
        <v>1144</v>
      </c>
      <c r="AI22" t="s">
        <v>1145</v>
      </c>
    </row>
    <row r="23" spans="1:35" x14ac:dyDescent="0.25">
      <c r="A23" s="8"/>
      <c r="B23" s="8"/>
      <c r="C23" s="8"/>
      <c r="D23" s="8"/>
      <c r="E23" s="8"/>
      <c r="F23" s="8"/>
      <c r="G23" s="8"/>
      <c r="H23" s="47"/>
      <c r="I23" s="10"/>
      <c r="J23" s="47"/>
      <c r="K23" s="10"/>
      <c r="L23" s="11"/>
      <c r="M23" s="10"/>
      <c r="N23" s="11"/>
      <c r="O23" s="8"/>
      <c r="P23" s="47"/>
      <c r="Q23" s="10"/>
      <c r="R23" s="10"/>
      <c r="S23" s="10"/>
      <c r="T23" s="10"/>
      <c r="U23" s="8"/>
      <c r="AF23">
        <v>1</v>
      </c>
      <c r="AG23" t="str">
        <f t="shared" si="1"/>
        <v>ExtJan16</v>
      </c>
      <c r="AH23" t="s">
        <v>1183</v>
      </c>
      <c r="AI23" t="s">
        <v>1184</v>
      </c>
    </row>
    <row r="24" spans="1:35" ht="15.75" x14ac:dyDescent="0.25">
      <c r="A24" s="502" t="s">
        <v>17</v>
      </c>
      <c r="B24" s="504" t="s">
        <v>10</v>
      </c>
      <c r="C24" s="504"/>
      <c r="D24" s="504"/>
      <c r="E24" s="504"/>
      <c r="F24" s="504"/>
      <c r="G24" s="15"/>
      <c r="H24" s="46">
        <v>9</v>
      </c>
      <c r="I24" s="10"/>
      <c r="J24" s="46" t="e">
        <f ca="1">IF(MONTH($C$1)&gt;MONTH(TODAY())+55000,"0",COUNTIFS(ATBCL,"ATB5",INDIRECT(VLOOKUP(MONTH($C$1),$AF$4:$AG$15,2,0),1),1)+COUNTIFS(ATBCL,"ATB5",INDIRECT(VLOOKUP(MONTH($C$1),$AF$4:$AG$15,2,0),1),2)+COUNTIFS(ATBCL,"ATB5",INDIRECT(VLOOKUP(MONTH($C$1),$AF$4:$AG$15,2,0),1),3)+COUNTIFS(ATBCL,"ATB5",INDIRECT(VLOOKUP(MONTH($C$1),$AF$4:$AG$15,2,0),1),4))</f>
        <v>#REF!</v>
      </c>
      <c r="K24" s="10"/>
      <c r="L24" s="16" t="e">
        <f ca="1">J24/H24</f>
        <v>#REF!</v>
      </c>
      <c r="M24" s="10"/>
      <c r="N24" s="16">
        <f>$F$1</f>
        <v>0.5</v>
      </c>
      <c r="O24" s="8"/>
      <c r="P24" s="46" t="e">
        <f ca="1">COUNTIFS(ATBCL,"ATB5",INDIRECT(VLOOKUP(MONTH($C$1),$AF$5:$AG$16,2,0),1),3)+COUNTIFS(ATBCL,"ATB5",INDIRECT(VLOOKUP(MONTH($C$1),$AF$5:$AG$16,2,0),1),4)</f>
        <v>#REF!</v>
      </c>
      <c r="Q24" s="10"/>
      <c r="R24" s="16" t="e">
        <f ca="1">P24/J24</f>
        <v>#REF!</v>
      </c>
      <c r="S24" s="10"/>
      <c r="T24" s="40" t="e">
        <f ca="1">P24/J24</f>
        <v>#REF!</v>
      </c>
      <c r="U24" s="8"/>
      <c r="W24" t="e" cm="1">
        <f t="array" ref="W24">SUM(COUNTIFS(Cleaning!#REF!,"ATB5",Cleaning!#REF!,{"1","2","3","4"}))</f>
        <v>#REF!</v>
      </c>
      <c r="AF24">
        <v>7</v>
      </c>
      <c r="AG24" t="str">
        <f t="shared" si="1"/>
        <v>ExtJuly15</v>
      </c>
      <c r="AH24" t="s">
        <v>1146</v>
      </c>
      <c r="AI24" t="s">
        <v>1147</v>
      </c>
    </row>
    <row r="25" spans="1:35" ht="15.75" x14ac:dyDescent="0.25">
      <c r="A25" s="502"/>
      <c r="B25" s="504" t="s">
        <v>11</v>
      </c>
      <c r="C25" s="504"/>
      <c r="D25" s="504"/>
      <c r="E25" s="504"/>
      <c r="F25" s="504"/>
      <c r="G25" s="15"/>
      <c r="H25" s="46">
        <v>10</v>
      </c>
      <c r="I25" s="10"/>
      <c r="J25" s="46" t="e">
        <f ca="1">IF(MONTH($C$1)&gt;MONTH(TODAY())+55000,0,COUNTIFS(ATBCL,"ATB5",INDIRECT(VLOOKUP(MONTH($C$1),$AF$18:$AG$29,2,0),1),1)+COUNTIFS(ATBCL,"ATB5",INDIRECT(VLOOKUP(MONTH($C$1),$AF$18:$AG$29,2,0),1),2)+COUNTIFS(ATBCL,"ATB5",INDIRECT(VLOOKUP(MONTH($C$1),$AF$18:$AG$29,2,0),1),3)+COUNTIFS(ATBCL,"ATB5",INDIRECT(VLOOKUP(MONTH($C$1),$AF$18:$AG$29,2,0),1),4))</f>
        <v>#REF!</v>
      </c>
      <c r="K25" s="10"/>
      <c r="L25" s="16" t="e">
        <f ca="1">J25/H25</f>
        <v>#REF!</v>
      </c>
      <c r="M25" s="10"/>
      <c r="N25" s="16">
        <f>$F$1</f>
        <v>0.5</v>
      </c>
      <c r="O25" s="8"/>
      <c r="P25" s="46" t="e">
        <f ca="1">COUNTIFS(ATBCL,"ATB5",INDIRECT(VLOOKUP(MONTH($C$1),$AF$19:$AG$30,2,0),1),3)+COUNTIFS(ATBCL,"ATB5",INDIRECT(VLOOKUP(MONTH($C$1),$AF$19:$AG$30,2,0),1),4)</f>
        <v>#REF!</v>
      </c>
      <c r="Q25" s="10"/>
      <c r="R25" s="16" t="e">
        <f ca="1">P25/J25</f>
        <v>#REF!</v>
      </c>
      <c r="S25" s="10"/>
      <c r="T25" s="40" t="e">
        <f ca="1">P25/J25</f>
        <v>#REF!</v>
      </c>
      <c r="U25" s="8"/>
      <c r="W25" t="e" cm="1">
        <f t="array" ref="W25">SUM(COUNTIFS(Cleaning!#REF!,"ATB5",Cleaning!#REF!,{"1","2","3","4"}))</f>
        <v>#REF!</v>
      </c>
      <c r="AF25">
        <v>6</v>
      </c>
      <c r="AG25" t="str">
        <f t="shared" si="1"/>
        <v>ExtJune15</v>
      </c>
      <c r="AH25" t="s">
        <v>1148</v>
      </c>
      <c r="AI25" t="s">
        <v>1149</v>
      </c>
    </row>
    <row r="26" spans="1:35" ht="15.75" x14ac:dyDescent="0.25">
      <c r="A26" s="502"/>
      <c r="B26" s="504" t="s">
        <v>12</v>
      </c>
      <c r="C26" s="504"/>
      <c r="D26" s="504"/>
      <c r="E26" s="504"/>
      <c r="F26" s="504"/>
      <c r="G26" s="15"/>
      <c r="H26" s="46">
        <v>6</v>
      </c>
      <c r="I26" s="10"/>
      <c r="J26" s="46" t="e">
        <f ca="1">COUNTIFS(ATBLA,"ATB5",INDIRECT(VLOOKUP(MONTH($C$1),$AF$32:$AG$43,2,0),1),1)+COUNTIFS(ATBLA,"ATB5",INDIRECT(VLOOKUP(MONTH($C$1),$AF$32:$AG$43,2,0),1),2)+COUNTIFS(ATBLA,"ATB5",INDIRECT(VLOOKUP(MONTH($C$1),$AF$32:$AG$43,2,0),1),3)+COUNTIFS(ATBLA,"ATB5",INDIRECT(VLOOKUP(MONTH($C$1),$AF$32:$AG$43,2,0),1),4)</f>
        <v>#REF!</v>
      </c>
      <c r="K26" s="10"/>
      <c r="L26" s="16" t="e">
        <f ca="1">J26/H26</f>
        <v>#REF!</v>
      </c>
      <c r="M26" s="10"/>
      <c r="N26" s="16">
        <f>$F$1</f>
        <v>0.5</v>
      </c>
      <c r="O26" s="8"/>
      <c r="P26" s="46" t="e">
        <f ca="1">COUNTIFS(ATBLA,"ATB5",INDIRECT(VLOOKUP(MONTH($C$1),$AF$33:$AG$44,2,0),1),3)+COUNTIFS(ATBLA,"ATB5",INDIRECT(VLOOKUP(MONTH($C$1),$AF$33:$AG$44,2,0),1),4)</f>
        <v>#REF!</v>
      </c>
      <c r="Q26" s="10"/>
      <c r="R26" s="16" t="e">
        <f ca="1">P26/J26</f>
        <v>#REF!</v>
      </c>
      <c r="S26" s="10"/>
      <c r="T26" s="40" t="e">
        <f ca="1">P26/J26</f>
        <v>#REF!</v>
      </c>
      <c r="U26" s="8"/>
      <c r="W26" t="e" cm="1">
        <f t="array" ref="W26">SUM(COUNTIFS(#REF!,"ATB5",#REF!,{"1","2","3","4"}))</f>
        <v>#REF!</v>
      </c>
      <c r="AF26">
        <v>3</v>
      </c>
      <c r="AG26" t="str">
        <f t="shared" si="1"/>
        <v>ExtMar16</v>
      </c>
      <c r="AH26" t="s">
        <v>1150</v>
      </c>
      <c r="AI26" t="s">
        <v>1151</v>
      </c>
    </row>
    <row r="27" spans="1:35" x14ac:dyDescent="0.25">
      <c r="A27" s="503"/>
      <c r="B27" s="504" t="s">
        <v>13</v>
      </c>
      <c r="C27" s="504"/>
      <c r="D27" s="504"/>
      <c r="E27" s="504"/>
      <c r="F27" s="504"/>
      <c r="G27" s="8"/>
      <c r="H27" s="46">
        <f>H24+H25+H26</f>
        <v>25</v>
      </c>
      <c r="I27" s="10"/>
      <c r="J27" s="46" t="e">
        <f ca="1">J24+J25+J26</f>
        <v>#REF!</v>
      </c>
      <c r="K27" s="10"/>
      <c r="L27" s="16" t="e">
        <f ca="1">J27/H27</f>
        <v>#REF!</v>
      </c>
      <c r="M27" s="10"/>
      <c r="N27" s="16">
        <f>$F$1</f>
        <v>0.5</v>
      </c>
      <c r="O27" s="8"/>
      <c r="P27" s="46" t="e">
        <f ca="1">SUM(P24:P26)</f>
        <v>#REF!</v>
      </c>
      <c r="Q27" s="10"/>
      <c r="R27" s="16" t="e">
        <f ca="1">P27/J27</f>
        <v>#REF!</v>
      </c>
      <c r="S27" s="10"/>
      <c r="T27" s="40" t="e">
        <f ca="1">P27/J27</f>
        <v>#REF!</v>
      </c>
      <c r="U27" s="8"/>
      <c r="AF27">
        <v>5</v>
      </c>
      <c r="AG27" t="str">
        <f t="shared" si="1"/>
        <v>ExtMay15</v>
      </c>
      <c r="AH27" t="s">
        <v>1152</v>
      </c>
      <c r="AI27" t="s">
        <v>1153</v>
      </c>
    </row>
    <row r="28" spans="1:35" x14ac:dyDescent="0.25">
      <c r="A28" s="8"/>
      <c r="B28" s="8"/>
      <c r="C28" s="8"/>
      <c r="D28" s="8"/>
      <c r="E28" s="8"/>
      <c r="F28" s="8"/>
      <c r="G28" s="8"/>
      <c r="H28" s="47"/>
      <c r="I28" s="10"/>
      <c r="J28" s="47"/>
      <c r="K28" s="10"/>
      <c r="L28" s="11"/>
      <c r="M28" s="10"/>
      <c r="N28" s="11"/>
      <c r="O28" s="8"/>
      <c r="P28" s="47"/>
      <c r="Q28" s="10"/>
      <c r="R28" s="10"/>
      <c r="S28" s="10"/>
      <c r="T28" s="10"/>
      <c r="U28" s="8"/>
      <c r="AF28">
        <v>11</v>
      </c>
      <c r="AG28" t="str">
        <f t="shared" si="1"/>
        <v>ExtNov15</v>
      </c>
      <c r="AH28" t="s">
        <v>1185</v>
      </c>
      <c r="AI28" t="s">
        <v>1186</v>
      </c>
    </row>
    <row r="29" spans="1:35" ht="15.75" x14ac:dyDescent="0.25">
      <c r="A29" s="502" t="s">
        <v>18</v>
      </c>
      <c r="B29" s="504" t="s">
        <v>10</v>
      </c>
      <c r="C29" s="504"/>
      <c r="D29" s="504"/>
      <c r="E29" s="504"/>
      <c r="F29" s="504"/>
      <c r="G29" s="15"/>
      <c r="H29" s="46">
        <v>5</v>
      </c>
      <c r="I29" s="10"/>
      <c r="J29" s="46" t="e">
        <f ca="1">IF(MONTH($C$1)&gt;MONTH(TODAY())+55000,"0",COUNTIFS(ATBCL,"ATB6",INDIRECT(VLOOKUP(MONTH($C$1),$AF$4:$AG$15,2,0),1),1)+COUNTIFS(ATBCL,"ATB6",INDIRECT(VLOOKUP(MONTH($C$1),$AF$4:$AG$15,2,0),1),2)+COUNTIFS(ATBCL,"ATB6",INDIRECT(VLOOKUP(MONTH($C$1),$AF$4:$AG$15,2,0),1),3)+COUNTIFS(ATBCL,"ATB6",INDIRECT(VLOOKUP(MONTH($C$1),$AF$4:$AG$15,2,0),1),4))</f>
        <v>#REF!</v>
      </c>
      <c r="K29" s="10"/>
      <c r="L29" s="16" t="e">
        <f ca="1">J29/H29</f>
        <v>#REF!</v>
      </c>
      <c r="M29" s="10"/>
      <c r="N29" s="16">
        <f>$F$1</f>
        <v>0.5</v>
      </c>
      <c r="O29" s="8"/>
      <c r="P29" s="46" t="e">
        <f ca="1">COUNTIFS(ATBCL,"ATB6",INDIRECT(VLOOKUP(MONTH($C$1),$AF$5:$AG$16,2,0),1),3)+COUNTIFS(ATBCL,"ATB6",INDIRECT(VLOOKUP(MONTH($C$1),$AF$5:$AG$16,2,0),1),4)</f>
        <v>#REF!</v>
      </c>
      <c r="Q29" s="10"/>
      <c r="R29" s="16" t="e">
        <f t="shared" ref="R29:R47" ca="1" si="2">P29/J29</f>
        <v>#REF!</v>
      </c>
      <c r="S29" s="10"/>
      <c r="T29" s="40" t="e">
        <f ca="1">P29/J29</f>
        <v>#REF!</v>
      </c>
      <c r="U29" s="8"/>
      <c r="W29" t="e" cm="1">
        <f t="array" ref="W29">SUM(COUNTIFS(Cleaning!#REF!,"ATB6",Cleaning!#REF!,{"1","2","3","4"}))</f>
        <v>#REF!</v>
      </c>
      <c r="AF29">
        <v>10</v>
      </c>
      <c r="AG29" t="str">
        <f t="shared" si="1"/>
        <v>ExtOct15</v>
      </c>
      <c r="AH29" t="s">
        <v>1154</v>
      </c>
      <c r="AI29" t="s">
        <v>1155</v>
      </c>
    </row>
    <row r="30" spans="1:35" ht="15.75" x14ac:dyDescent="0.25">
      <c r="A30" s="502"/>
      <c r="B30" s="504" t="s">
        <v>11</v>
      </c>
      <c r="C30" s="504"/>
      <c r="D30" s="504"/>
      <c r="E30" s="504"/>
      <c r="F30" s="504"/>
      <c r="G30" s="15"/>
      <c r="H30" s="46">
        <v>7</v>
      </c>
      <c r="I30" s="10"/>
      <c r="J30" s="46" t="e">
        <f ca="1">IF(MONTH($C$1)&gt;MONTH(TODAY())+55000,0,COUNTIFS(ATBCL,"ATB6",INDIRECT(VLOOKUP(MONTH($C$1),$AF$18:$AG$29,2,0),1),1)+COUNTIFS(ATBCL,"ATB6",INDIRECT(VLOOKUP(MONTH($C$1),$AF$18:$AG$29,2,0),1),2)+COUNTIFS(ATBCL,"ATB6",INDIRECT(VLOOKUP(MONTH($C$1),$AF$18:$AG$29,2,0),1),3)+COUNTIFS(ATBCL,"ATB6",INDIRECT(VLOOKUP(MONTH($C$1),$AF$18:$AG$29,2,0),1),4))</f>
        <v>#REF!</v>
      </c>
      <c r="K30" s="10"/>
      <c r="L30" s="16" t="e">
        <f ca="1">J30/H30</f>
        <v>#REF!</v>
      </c>
      <c r="M30" s="10"/>
      <c r="N30" s="16">
        <f>$F$1</f>
        <v>0.5</v>
      </c>
      <c r="O30" s="8"/>
      <c r="P30" s="46" t="e">
        <f ca="1">COUNTIFS(ATBCL,"ATB6",INDIRECT(VLOOKUP(MONTH($C$1),$AF$19:$AG$30,2,0),1),3)+COUNTIFS(ATBCL,"ATB6",INDIRECT(VLOOKUP(MONTH($C$1),$AF$19:$AG$30,2,0),1),4)</f>
        <v>#REF!</v>
      </c>
      <c r="Q30" s="10"/>
      <c r="R30" s="16" t="e">
        <f t="shared" ca="1" si="2"/>
        <v>#REF!</v>
      </c>
      <c r="S30" s="10"/>
      <c r="T30" s="40" t="e">
        <f ca="1">P30/J30</f>
        <v>#REF!</v>
      </c>
      <c r="U30" s="8"/>
      <c r="W30" t="e" cm="1">
        <f t="array" ref="W30">SUM(COUNTIFS(Cleaning!#REF!,"ATB6",Cleaning!#REF!,{"1","2","3","4"}))</f>
        <v>#REF!</v>
      </c>
      <c r="AF30">
        <v>9</v>
      </c>
      <c r="AG30" t="str">
        <f t="shared" si="1"/>
        <v>ExtSept15</v>
      </c>
      <c r="AH30" t="s">
        <v>1156</v>
      </c>
      <c r="AI30" t="s">
        <v>1157</v>
      </c>
    </row>
    <row r="31" spans="1:35" ht="15.75" x14ac:dyDescent="0.25">
      <c r="A31" s="502"/>
      <c r="B31" s="504" t="s">
        <v>12</v>
      </c>
      <c r="C31" s="504"/>
      <c r="D31" s="504"/>
      <c r="E31" s="504"/>
      <c r="F31" s="504"/>
      <c r="G31" s="15"/>
      <c r="H31" s="46">
        <v>6</v>
      </c>
      <c r="I31" s="10"/>
      <c r="J31" s="46" t="e">
        <f ca="1">COUNTIFS(ATBLA,"ATB6",INDIRECT(VLOOKUP(MONTH($C$1),$AF$32:$AG$43,2,0),1),1)+COUNTIFS(ATBLA,"ATB6",INDIRECT(VLOOKUP(MONTH($C$1),$AF$32:$AG$43,2,0),1),2)+COUNTIFS(ATBLA,"ATB6",INDIRECT(VLOOKUP(MONTH($C$1),$AF$32:$AG$43,2,0),1),3)+COUNTIFS(ATBLA,"ATB6",INDIRECT(VLOOKUP(MONTH($C$1),$AF$32:$AG$43,2,0),1),4)</f>
        <v>#REF!</v>
      </c>
      <c r="K31" s="10"/>
      <c r="L31" s="16" t="e">
        <f ca="1">J31/H31</f>
        <v>#REF!</v>
      </c>
      <c r="M31" s="10"/>
      <c r="N31" s="16">
        <f>$F$1</f>
        <v>0.5</v>
      </c>
      <c r="O31" s="8"/>
      <c r="P31" s="46" t="e">
        <f ca="1">COUNTIFS(ATBLA,"ATB6",INDIRECT(VLOOKUP(MONTH($C$1),$AF$33:$AG$44,2,0),1),3)+COUNTIFS(ATBLA,"ATB6",INDIRECT(VLOOKUP(MONTH($C$1),$AF$33:$AG$44,2,0),1),4)</f>
        <v>#REF!</v>
      </c>
      <c r="Q31" s="10"/>
      <c r="R31" s="16" t="e">
        <f t="shared" ca="1" si="2"/>
        <v>#REF!</v>
      </c>
      <c r="S31" s="10"/>
      <c r="T31" s="40" t="e">
        <f ca="1">P31/J31</f>
        <v>#REF!</v>
      </c>
      <c r="U31" s="8"/>
      <c r="W31" t="e" cm="1">
        <f t="array" ref="W31">SUM(COUNTIFS(#REF!,"ATB6",#REF!,{"1","2","3","4"}))</f>
        <v>#REF!</v>
      </c>
    </row>
    <row r="32" spans="1:35" x14ac:dyDescent="0.25">
      <c r="A32" s="503"/>
      <c r="B32" s="504" t="s">
        <v>13</v>
      </c>
      <c r="C32" s="504"/>
      <c r="D32" s="504"/>
      <c r="E32" s="504"/>
      <c r="F32" s="504"/>
      <c r="G32" s="8"/>
      <c r="H32" s="46">
        <f>H29+H30+H31</f>
        <v>18</v>
      </c>
      <c r="I32" s="10"/>
      <c r="J32" s="46" t="e">
        <f ca="1">J29+J30+J31</f>
        <v>#REF!</v>
      </c>
      <c r="K32" s="10"/>
      <c r="L32" s="16" t="e">
        <f ca="1">J32/H32</f>
        <v>#REF!</v>
      </c>
      <c r="M32" s="10"/>
      <c r="N32" s="16">
        <f>$F$1</f>
        <v>0.5</v>
      </c>
      <c r="O32" s="8"/>
      <c r="P32" s="46" t="e">
        <f ca="1">SUM(P29:P31)</f>
        <v>#REF!</v>
      </c>
      <c r="Q32" s="10"/>
      <c r="R32" s="16" t="e">
        <f t="shared" ca="1" si="2"/>
        <v>#REF!</v>
      </c>
      <c r="S32" s="10"/>
      <c r="T32" s="40" t="e">
        <f ca="1">P32/J32</f>
        <v>#REF!</v>
      </c>
      <c r="U32" s="8"/>
      <c r="AF32" t="s">
        <v>1158</v>
      </c>
    </row>
    <row r="33" spans="1:35" x14ac:dyDescent="0.25">
      <c r="A33" s="8"/>
      <c r="B33" s="8"/>
      <c r="C33" s="8"/>
      <c r="D33" s="8"/>
      <c r="E33" s="8"/>
      <c r="F33" s="8"/>
      <c r="G33" s="8"/>
      <c r="H33" s="47"/>
      <c r="I33" s="10"/>
      <c r="J33" s="47"/>
      <c r="K33" s="10"/>
      <c r="L33" s="11"/>
      <c r="M33" s="10"/>
      <c r="N33" s="11"/>
      <c r="O33" s="8"/>
      <c r="P33" s="47"/>
      <c r="Q33" s="10"/>
      <c r="R33" s="10"/>
      <c r="S33" s="10"/>
      <c r="T33" s="10"/>
      <c r="U33" s="8"/>
      <c r="AE33" s="64" t="e">
        <f ca="1">COUNTIFS(ATBLA,"ATB1",INDIRECT(VLOOKUP(MONTH($C$1),$AF$33:$AG$39,2,0),1),1)+COUNTIFS(ATBLA,"ATB1",INDIRECT(VLOOKUP(MONTH($C$1),$AF$33:$AG$39,2,0),1),2)+COUNTIFS(ATBLA,"ATB1",INDIRECT(VLOOKUP(MONTH($C$1),$AF$33:$AG$39,2,0),1),3)+COUNTIFS(ATBLA,"ATB1",INDIRECT(VLOOKUP(MONTH($C$1),$AF$33:$AG$39,2,0),1),4)</f>
        <v>#REF!</v>
      </c>
      <c r="AF33">
        <v>1</v>
      </c>
      <c r="AG33" t="str">
        <f t="shared" ref="AG33:AG39" si="3">AI33</f>
        <v>Jan16_LA</v>
      </c>
      <c r="AH33" t="s">
        <v>1187</v>
      </c>
      <c r="AI33" t="s">
        <v>1188</v>
      </c>
    </row>
    <row r="34" spans="1:35" ht="15.75" x14ac:dyDescent="0.25">
      <c r="A34" s="502" t="s">
        <v>19</v>
      </c>
      <c r="B34" s="504" t="s">
        <v>10</v>
      </c>
      <c r="C34" s="504"/>
      <c r="D34" s="504"/>
      <c r="E34" s="504"/>
      <c r="F34" s="504"/>
      <c r="G34" s="15"/>
      <c r="H34" s="46">
        <v>6</v>
      </c>
      <c r="I34" s="10"/>
      <c r="J34" s="46" t="e">
        <f ca="1">IF(MONTH($C$1)&gt;MONTH(TODAY())+55000,"0",COUNTIFS(ATBCL,"ATB7",INDIRECT(VLOOKUP(MONTH($C$1),$AF$4:$AG$15,2,0),1),1)+COUNTIFS(ATBCL,"ATB7",INDIRECT(VLOOKUP(MONTH($C$1),$AF$4:$AG$15,2,0),1),2)+COUNTIFS(ATBCL,"ATB7",INDIRECT(VLOOKUP(MONTH($C$1),$AF$4:$AG$15,2,0),1),3)+COUNTIFS(ATBCL,"ATB7",INDIRECT(VLOOKUP(MONTH($C$1),$AF$4:$AG$15,2,0),1),4))</f>
        <v>#REF!</v>
      </c>
      <c r="K34" s="10"/>
      <c r="L34" s="16" t="e">
        <f ca="1">J34/H34</f>
        <v>#REF!</v>
      </c>
      <c r="M34" s="10"/>
      <c r="N34" s="16">
        <f>$F$1</f>
        <v>0.5</v>
      </c>
      <c r="O34" s="8"/>
      <c r="P34" s="46" t="e">
        <f ca="1">COUNTIFS(ATBCL,"ATB7",INDIRECT(VLOOKUP(MONTH($C$1),$AF$5:$AG$16,2,0),1),3)+COUNTIFS(ATBCL,"ATB7",INDIRECT(VLOOKUP(MONTH($C$1),$AF$5:$AG$16,2,0),1),4)</f>
        <v>#REF!</v>
      </c>
      <c r="Q34" s="10"/>
      <c r="R34" s="16" t="e">
        <f t="shared" ca="1" si="2"/>
        <v>#REF!</v>
      </c>
      <c r="S34" s="10"/>
      <c r="T34" s="40" t="e">
        <f ca="1">P34/J34</f>
        <v>#REF!</v>
      </c>
      <c r="U34" s="8"/>
      <c r="W34" t="e" cm="1">
        <f t="array" ref="W34">SUM(COUNTIFS(Cleaning!#REF!,"ATB7",Cleaning!#REF!,{"1","2","3","4"}))</f>
        <v>#REF!</v>
      </c>
      <c r="AE34" s="64" t="e">
        <f ca="1">COUNTIFS(ATBLA,"ATB1",INDIRECT(VLOOKUP(MONTH($C$1),$AF$33:$AG$39,2,0),1),3)+COUNTIFS(ATBLA,"ATB1",INDIRECT(VLOOKUP(MONTH($C$1),$AF$33:$AG$39,2,0),1),4)</f>
        <v>#REF!</v>
      </c>
      <c r="AF34">
        <v>7</v>
      </c>
      <c r="AG34" t="str">
        <f t="shared" si="3"/>
        <v>Jul15_LA</v>
      </c>
      <c r="AH34" t="s">
        <v>1159</v>
      </c>
      <c r="AI34" t="s">
        <v>1160</v>
      </c>
    </row>
    <row r="35" spans="1:35" ht="15.75" x14ac:dyDescent="0.25">
      <c r="A35" s="502"/>
      <c r="B35" s="504" t="s">
        <v>11</v>
      </c>
      <c r="C35" s="504"/>
      <c r="D35" s="504"/>
      <c r="E35" s="504"/>
      <c r="F35" s="504"/>
      <c r="G35" s="15"/>
      <c r="H35" s="46">
        <v>11</v>
      </c>
      <c r="I35" s="10"/>
      <c r="J35" s="46" t="e">
        <f ca="1">IF(MONTH($C$1)&gt;MONTH(TODAY())+55000,0,COUNTIFS(ATBCL,"ATB7",INDIRECT(VLOOKUP(MONTH($C$1),$AF$18:$AG$29,2,0),1),1)+COUNTIFS(ATBCL,"ATB7",INDIRECT(VLOOKUP(MONTH($C$1),$AF$18:$AG$29,2,0),1),2)+COUNTIFS(ATBCL,"ATB7",INDIRECT(VLOOKUP(MONTH($C$1),$AF$18:$AG$29,2,0),1),3)+COUNTIFS(ATBCL,"ATB7",INDIRECT(VLOOKUP(MONTH($C$1),$AF$18:$AG$29,2,0),1),4))</f>
        <v>#REF!</v>
      </c>
      <c r="K35" s="10"/>
      <c r="L35" s="16" t="e">
        <f ca="1">J35/H35</f>
        <v>#REF!</v>
      </c>
      <c r="M35" s="10"/>
      <c r="N35" s="16">
        <f t="shared" ref="N35:N42" si="4">$F$1</f>
        <v>0.5</v>
      </c>
      <c r="O35" s="8"/>
      <c r="P35" s="46" t="e">
        <f ca="1">COUNTIFS(ATBCL,"ATB7",INDIRECT(VLOOKUP(MONTH($C$1),$AF$19:$AG$30,2,0),1),3)+COUNTIFS(ATBCL,"ATB7",INDIRECT(VLOOKUP(MONTH($C$1),$AF$19:$AG$30,2,0),1),4)</f>
        <v>#REF!</v>
      </c>
      <c r="Q35" s="10"/>
      <c r="R35" s="16" t="e">
        <f t="shared" ca="1" si="2"/>
        <v>#REF!</v>
      </c>
      <c r="S35" s="10"/>
      <c r="T35" s="40" t="e">
        <f ca="1">P35/J35</f>
        <v>#REF!</v>
      </c>
      <c r="U35" s="8"/>
      <c r="W35" t="e" cm="1">
        <f t="array" ref="W35">SUM(COUNTIFS(Cleaning!#REF!,"ATB7",Cleaning!#REF!,{"1","2","3","4"}))</f>
        <v>#REF!</v>
      </c>
      <c r="AF35">
        <v>6</v>
      </c>
      <c r="AG35" t="str">
        <f t="shared" si="3"/>
        <v>Jun15_LA</v>
      </c>
      <c r="AH35" t="s">
        <v>1161</v>
      </c>
      <c r="AI35" t="s">
        <v>1162</v>
      </c>
    </row>
    <row r="36" spans="1:35" ht="15.75" x14ac:dyDescent="0.25">
      <c r="A36" s="502"/>
      <c r="B36" s="504" t="s">
        <v>12</v>
      </c>
      <c r="C36" s="504"/>
      <c r="D36" s="504"/>
      <c r="E36" s="504"/>
      <c r="F36" s="504"/>
      <c r="G36" s="15"/>
      <c r="H36" s="46">
        <v>7</v>
      </c>
      <c r="I36" s="10"/>
      <c r="J36" s="46" t="e">
        <f ca="1">COUNTIFS(ATBLA,"ATB7",INDIRECT(VLOOKUP(MONTH($C$1),$AF$32:$AG$43,2,0),1),1)+COUNTIFS(ATBLA,"ATB7",INDIRECT(VLOOKUP(MONTH($C$1),$AF$32:$AG$43,2,0),1),2)+COUNTIFS(ATBLA,"ATB7",INDIRECT(VLOOKUP(MONTH($C$1),$AF$32:$AG$43,2,0),1),3)+COUNTIFS(ATBLA,"ATB7",INDIRECT(VLOOKUP(MONTH($C$1),$AF$32:$AG$43,2,0),1),4)</f>
        <v>#REF!</v>
      </c>
      <c r="K36" s="10"/>
      <c r="L36" s="16" t="e">
        <f ca="1">J36/H36</f>
        <v>#REF!</v>
      </c>
      <c r="M36" s="10"/>
      <c r="N36" s="16">
        <f t="shared" si="4"/>
        <v>0.5</v>
      </c>
      <c r="O36" s="8"/>
      <c r="P36" s="46" t="e">
        <f ca="1">COUNTIFS(ATBLA,"ATB7",INDIRECT(VLOOKUP(MONTH($C$1),$AF$33:$AG$44,2,0),1),3)+COUNTIFS(ATBLA,"ATB7",INDIRECT(VLOOKUP(MONTH($C$1),$AF$33:$AG$44,2,0),1),4)</f>
        <v>#REF!</v>
      </c>
      <c r="Q36" s="10"/>
      <c r="R36" s="16" t="e">
        <f t="shared" ca="1" si="2"/>
        <v>#REF!</v>
      </c>
      <c r="S36" s="10"/>
      <c r="T36" s="40" t="e">
        <f ca="1">P36/J36</f>
        <v>#REF!</v>
      </c>
      <c r="U36" s="8"/>
      <c r="W36" t="e" cm="1">
        <f t="array" ref="W36">SUM(COUNTIFS(#REF!,"ATB7",#REF!,{"1","2","3","4"}))</f>
        <v>#REF!</v>
      </c>
      <c r="AF36">
        <v>3</v>
      </c>
      <c r="AG36" t="str">
        <f t="shared" si="3"/>
        <v>Mar16_LA</v>
      </c>
      <c r="AH36" t="s">
        <v>1163</v>
      </c>
      <c r="AI36" t="s">
        <v>1164</v>
      </c>
    </row>
    <row r="37" spans="1:35" x14ac:dyDescent="0.25">
      <c r="A37" s="503"/>
      <c r="B37" s="504" t="s">
        <v>13</v>
      </c>
      <c r="C37" s="504"/>
      <c r="D37" s="504"/>
      <c r="E37" s="504"/>
      <c r="F37" s="504"/>
      <c r="G37" s="8"/>
      <c r="H37" s="46">
        <f>H34+H35+H36</f>
        <v>24</v>
      </c>
      <c r="I37" s="10"/>
      <c r="J37" s="46" t="e">
        <f ca="1">J34+J35+J36</f>
        <v>#REF!</v>
      </c>
      <c r="K37" s="10"/>
      <c r="L37" s="16" t="e">
        <f ca="1">J37/H37</f>
        <v>#REF!</v>
      </c>
      <c r="M37" s="10"/>
      <c r="N37" s="16">
        <f t="shared" si="4"/>
        <v>0.5</v>
      </c>
      <c r="O37" s="8"/>
      <c r="P37" s="46" t="e">
        <f ca="1">SUM(P34:P36)</f>
        <v>#REF!</v>
      </c>
      <c r="Q37" s="10"/>
      <c r="R37" s="16" t="e">
        <f t="shared" ca="1" si="2"/>
        <v>#REF!</v>
      </c>
      <c r="S37" s="10"/>
      <c r="T37" s="40" t="e">
        <f ca="1">P37/J37</f>
        <v>#REF!</v>
      </c>
      <c r="U37" s="8"/>
      <c r="AF37">
        <v>5</v>
      </c>
      <c r="AG37" t="str">
        <f t="shared" si="3"/>
        <v>May15_LA</v>
      </c>
      <c r="AH37" t="s">
        <v>1165</v>
      </c>
      <c r="AI37" t="s">
        <v>1166</v>
      </c>
    </row>
    <row r="38" spans="1:35" x14ac:dyDescent="0.25">
      <c r="A38" s="8"/>
      <c r="B38" s="8"/>
      <c r="C38" s="8"/>
      <c r="D38" s="8"/>
      <c r="E38" s="8"/>
      <c r="F38" s="8"/>
      <c r="G38" s="8"/>
      <c r="H38" s="47"/>
      <c r="I38" s="10"/>
      <c r="J38" s="47"/>
      <c r="K38" s="10"/>
      <c r="L38" s="11"/>
      <c r="M38" s="10"/>
      <c r="N38" s="11"/>
      <c r="O38" s="8"/>
      <c r="P38" s="47"/>
      <c r="Q38" s="10"/>
      <c r="R38" s="10"/>
      <c r="S38" s="10"/>
      <c r="T38" s="10"/>
      <c r="U38" s="8"/>
      <c r="AF38">
        <v>11</v>
      </c>
      <c r="AG38" t="str">
        <f t="shared" si="3"/>
        <v>Nov15_LA</v>
      </c>
      <c r="AH38" t="s">
        <v>1189</v>
      </c>
      <c r="AI38" t="s">
        <v>1190</v>
      </c>
    </row>
    <row r="39" spans="1:35" ht="15.75" x14ac:dyDescent="0.25">
      <c r="A39" s="502" t="s">
        <v>20</v>
      </c>
      <c r="B39" s="507" t="s">
        <v>10</v>
      </c>
      <c r="C39" s="508"/>
      <c r="D39" s="508"/>
      <c r="E39" s="508"/>
      <c r="F39" s="509"/>
      <c r="G39" s="15"/>
      <c r="H39" s="46">
        <v>18</v>
      </c>
      <c r="I39" s="10"/>
      <c r="J39" s="46" t="e">
        <f ca="1">IF(MONTH($C$1)&gt;MONTH(TODAY())+55000,"0",COUNTIFS(ATBCL,"ATB9",INDIRECT(VLOOKUP(MONTH($C$1),$AF$4:$AG$15,2,0),1),1)+COUNTIFS(ATBCL,"ATB9",INDIRECT(VLOOKUP(MONTH($C$1),$AF$4:$AG$15,2,0),1),2)+COUNTIFS(ATBCL,"ATB9",INDIRECT(VLOOKUP(MONTH($C$1),$AF$4:$AG$15,2,0),1),3)+COUNTIFS(ATBCL,"ATB9",INDIRECT(VLOOKUP(MONTH($C$1),$AF$4:$AG$15,2,0),1),4))</f>
        <v>#REF!</v>
      </c>
      <c r="K39" s="10"/>
      <c r="L39" s="16" t="e">
        <f ca="1">J39/H39</f>
        <v>#REF!</v>
      </c>
      <c r="M39" s="10"/>
      <c r="N39" s="16">
        <f t="shared" si="4"/>
        <v>0.5</v>
      </c>
      <c r="O39" s="8"/>
      <c r="P39" s="46" t="e">
        <f ca="1">COUNTIFS(ATBCL,"ATB9",INDIRECT(VLOOKUP(MONTH($C$1),$AF$5:$AG$16,2,0),1),3)+COUNTIFS(ATBCL,"ATB9",INDIRECT(VLOOKUP(MONTH($C$1),$AF$5:$AG$16,2,0),1),4)</f>
        <v>#REF!</v>
      </c>
      <c r="Q39" s="10"/>
      <c r="R39" s="16" t="e">
        <f ca="1">P39/J39</f>
        <v>#REF!</v>
      </c>
      <c r="S39" s="10"/>
      <c r="T39" s="40" t="e">
        <f ca="1">P39/J39</f>
        <v>#REF!</v>
      </c>
      <c r="U39" s="8"/>
      <c r="AF39">
        <v>12</v>
      </c>
      <c r="AG39" t="str">
        <f t="shared" si="3"/>
        <v>Dec15_LA</v>
      </c>
      <c r="AH39" t="s">
        <v>1167</v>
      </c>
      <c r="AI39" t="s">
        <v>1168</v>
      </c>
    </row>
    <row r="40" spans="1:35" ht="15.75" x14ac:dyDescent="0.25">
      <c r="A40" s="502"/>
      <c r="B40" s="507" t="s">
        <v>11</v>
      </c>
      <c r="C40" s="508"/>
      <c r="D40" s="508"/>
      <c r="E40" s="508"/>
      <c r="F40" s="509"/>
      <c r="G40" s="15"/>
      <c r="H40" s="46">
        <v>32</v>
      </c>
      <c r="I40" s="10"/>
      <c r="J40" s="46" t="e">
        <f ca="1">IF(MONTH($C$1)&gt;MONTH(TODAY())+55000,0,COUNTIFS(ATBCL,"ATB9",INDIRECT(VLOOKUP(MONTH($C$1),$AF$18:$AG$29,2,0),1),1)+COUNTIFS(ATBCL,"ATB9",INDIRECT(VLOOKUP(MONTH($C$1),$AF$18:$AG$29,2,0),1),2)+COUNTIFS(ATBCL,"ATB9",INDIRECT(VLOOKUP(MONTH($C$1),$AF$18:$AG$29,2,0),1),3)+COUNTIFS(ATBCL,"ATB9",INDIRECT(VLOOKUP(MONTH($C$1),$AF$18:$AG$29,2,0),1),4))</f>
        <v>#REF!</v>
      </c>
      <c r="K40" s="10"/>
      <c r="L40" s="16" t="e">
        <f ca="1">J40/H40</f>
        <v>#REF!</v>
      </c>
      <c r="M40" s="10"/>
      <c r="N40" s="16">
        <f t="shared" si="4"/>
        <v>0.5</v>
      </c>
      <c r="O40" s="8"/>
      <c r="P40" s="46" t="e">
        <f ca="1">COUNTIFS(ATBCL,"ATB9",INDIRECT(VLOOKUP(MONTH($C$1),$AF$19:$AG$30,2,0),1),3)+COUNTIFS(ATBCL,"ATB9",INDIRECT(VLOOKUP(MONTH($C$1),$AF$19:$AG$30,2,0),1),4)</f>
        <v>#REF!</v>
      </c>
      <c r="Q40" s="10"/>
      <c r="R40" s="16" t="e">
        <f t="shared" ca="1" si="2"/>
        <v>#REF!</v>
      </c>
      <c r="S40" s="10"/>
      <c r="T40" s="40" t="e">
        <f ca="1">P40/J40</f>
        <v>#REF!</v>
      </c>
      <c r="U40" s="8"/>
      <c r="AF40">
        <v>2</v>
      </c>
      <c r="AG40" t="s">
        <v>1169</v>
      </c>
      <c r="AH40" t="s">
        <v>1170</v>
      </c>
      <c r="AI40" t="s">
        <v>1169</v>
      </c>
    </row>
    <row r="41" spans="1:35" ht="15.75" x14ac:dyDescent="0.25">
      <c r="A41" s="502"/>
      <c r="B41" s="507" t="s">
        <v>12</v>
      </c>
      <c r="C41" s="508"/>
      <c r="D41" s="508"/>
      <c r="E41" s="508"/>
      <c r="F41" s="509"/>
      <c r="G41" s="15"/>
      <c r="H41" s="46">
        <v>28</v>
      </c>
      <c r="I41" s="10"/>
      <c r="J41" s="46" t="e">
        <f ca="1">COUNTIFS(ATBLA,"ATB9",INDIRECT(VLOOKUP(MONTH($C$1),$AF$32:$AG$43,2,0),1),1)+COUNTIFS(ATBLA,"ATB9",INDIRECT(VLOOKUP(MONTH($C$1),$AF$32:$AG$43,2,0),1),2)+COUNTIFS(ATBLA,"ATB9",INDIRECT(VLOOKUP(MONTH($C$1),$AF$32:$AG$43,2,0),1),3)+COUNTIFS(ATBLA,"ATB9",INDIRECT(VLOOKUP(MONTH($C$1),$AF$32:$AG$43,2,0),1),4)</f>
        <v>#REF!</v>
      </c>
      <c r="K41" s="10"/>
      <c r="L41" s="16" t="e">
        <f ca="1">J41/H41</f>
        <v>#REF!</v>
      </c>
      <c r="M41" s="10"/>
      <c r="N41" s="16">
        <f t="shared" si="4"/>
        <v>0.5</v>
      </c>
      <c r="O41" s="8"/>
      <c r="P41" s="46" t="e">
        <f ca="1">COUNTIFS(ATBLA,"ATB9",INDIRECT(VLOOKUP(MONTH($C$1),$AF$33:$AG$44,2,0),1),3)+COUNTIFS(ATBLA,"ATB9",INDIRECT(VLOOKUP(MONTH($C$1),$AF$33:$AG$44,2,0),1),4)</f>
        <v>#REF!</v>
      </c>
      <c r="Q41" s="10"/>
      <c r="R41" s="16" t="e">
        <f t="shared" ca="1" si="2"/>
        <v>#REF!</v>
      </c>
      <c r="S41" s="10"/>
      <c r="T41" s="40" t="e">
        <f ca="1">P41/J41</f>
        <v>#REF!</v>
      </c>
      <c r="U41" s="8"/>
      <c r="AF41">
        <v>4</v>
      </c>
      <c r="AG41" t="s">
        <v>1171</v>
      </c>
      <c r="AH41" t="s">
        <v>1172</v>
      </c>
      <c r="AI41" t="s">
        <v>1171</v>
      </c>
    </row>
    <row r="42" spans="1:35" x14ac:dyDescent="0.25">
      <c r="A42" s="502"/>
      <c r="B42" s="507" t="s">
        <v>13</v>
      </c>
      <c r="C42" s="508"/>
      <c r="D42" s="508"/>
      <c r="E42" s="508"/>
      <c r="F42" s="509"/>
      <c r="G42" s="8"/>
      <c r="H42" s="46">
        <f>H39+H40+H41</f>
        <v>78</v>
      </c>
      <c r="I42" s="10"/>
      <c r="J42" s="46" t="e">
        <f ca="1">J39+J40+J41</f>
        <v>#REF!</v>
      </c>
      <c r="K42" s="10"/>
      <c r="L42" s="16" t="e">
        <f ca="1">J42/H42</f>
        <v>#REF!</v>
      </c>
      <c r="M42" s="10"/>
      <c r="N42" s="16">
        <f t="shared" si="4"/>
        <v>0.5</v>
      </c>
      <c r="O42" s="8"/>
      <c r="P42" s="46" t="e">
        <f ca="1">SUM(P39:P41)</f>
        <v>#REF!</v>
      </c>
      <c r="Q42" s="10"/>
      <c r="R42" s="16" t="e">
        <f t="shared" ca="1" si="2"/>
        <v>#REF!</v>
      </c>
      <c r="S42" s="10"/>
      <c r="T42" s="40" t="e">
        <f ca="1">P42/J42</f>
        <v>#REF!</v>
      </c>
      <c r="U42" s="8"/>
      <c r="AF42">
        <v>8</v>
      </c>
      <c r="AG42" t="s">
        <v>1173</v>
      </c>
      <c r="AH42" t="s">
        <v>1174</v>
      </c>
      <c r="AI42" t="s">
        <v>1173</v>
      </c>
    </row>
    <row r="43" spans="1:35" x14ac:dyDescent="0.25">
      <c r="A43" s="8"/>
      <c r="B43" s="8"/>
      <c r="C43" s="8"/>
      <c r="D43" s="8"/>
      <c r="E43" s="8"/>
      <c r="F43" s="8"/>
      <c r="G43" s="8"/>
      <c r="H43" s="47"/>
      <c r="I43" s="10"/>
      <c r="J43" s="47"/>
      <c r="K43" s="10"/>
      <c r="L43" s="11"/>
      <c r="M43" s="10"/>
      <c r="N43" s="11"/>
      <c r="O43" s="8"/>
      <c r="P43" s="47"/>
      <c r="Q43" s="10"/>
      <c r="R43" s="10"/>
      <c r="S43" s="10"/>
      <c r="T43" s="10"/>
      <c r="U43" s="8"/>
      <c r="AF43">
        <v>9</v>
      </c>
      <c r="AG43" t="s">
        <v>1191</v>
      </c>
      <c r="AH43" t="s">
        <v>1192</v>
      </c>
      <c r="AI43" t="s">
        <v>1191</v>
      </c>
    </row>
    <row r="44" spans="1:35" ht="15.75" x14ac:dyDescent="0.25">
      <c r="A44" s="505" t="s">
        <v>21</v>
      </c>
      <c r="B44" s="504" t="s">
        <v>10</v>
      </c>
      <c r="C44" s="504"/>
      <c r="D44" s="504"/>
      <c r="E44" s="504"/>
      <c r="F44" s="504"/>
      <c r="G44" s="15"/>
      <c r="H44" s="46">
        <v>32</v>
      </c>
      <c r="I44" s="10"/>
      <c r="J44" s="46" t="e">
        <f ca="1">IF(MONTH($C$1)&gt;MONTH(TODAY())+55000,"0",COUNTIFS(ATBCL,"ATB10",INDIRECT(VLOOKUP(MONTH($C$1),$AF$4:$AG$15,2,0),1),1)+COUNTIFS(ATBCL,"ATB10",INDIRECT(VLOOKUP(MONTH($C$1),$AF$4:$AG$15,2,0),1),2)+COUNTIFS(ATBCL,"ATB10",INDIRECT(VLOOKUP(MONTH($C$1),$AF$4:$AG$15,2,0),1),3)+COUNTIFS(ATBCL,"ATB10",INDIRECT(VLOOKUP(MONTH($C$1),$AF$4:$AG$15,2,0),1),4))</f>
        <v>#REF!</v>
      </c>
      <c r="K44" s="10"/>
      <c r="L44" s="16" t="e">
        <f ca="1">J44/H44</f>
        <v>#REF!</v>
      </c>
      <c r="M44" s="10"/>
      <c r="N44" s="16">
        <f>$F$1</f>
        <v>0.5</v>
      </c>
      <c r="O44" s="8"/>
      <c r="P44" s="46" t="e">
        <f ca="1">COUNTIFS(ATBCL,"ATB10",INDIRECT(VLOOKUP(MONTH($C$1),$AF$5:$AG$16,2,0),1),3)+COUNTIFS(ATBCL,"ATB10",INDIRECT(VLOOKUP(MONTH($C$1),$AF$5:$AG$16,2,0),1),4)</f>
        <v>#REF!</v>
      </c>
      <c r="Q44" s="10"/>
      <c r="R44" s="16" t="e">
        <f t="shared" ca="1" si="2"/>
        <v>#REF!</v>
      </c>
      <c r="S44" s="10"/>
      <c r="T44" s="40" t="e">
        <f ca="1">P44/J44</f>
        <v>#REF!</v>
      </c>
      <c r="U44" s="8"/>
      <c r="AF44">
        <v>10</v>
      </c>
      <c r="AG44" t="s">
        <v>1175</v>
      </c>
      <c r="AH44" t="s">
        <v>1176</v>
      </c>
      <c r="AI44" t="s">
        <v>1175</v>
      </c>
    </row>
    <row r="45" spans="1:35" ht="15.75" x14ac:dyDescent="0.25">
      <c r="A45" s="505"/>
      <c r="B45" s="504" t="s">
        <v>11</v>
      </c>
      <c r="C45" s="504"/>
      <c r="D45" s="504"/>
      <c r="E45" s="504"/>
      <c r="F45" s="504"/>
      <c r="G45" s="15"/>
      <c r="H45" s="46">
        <v>33</v>
      </c>
      <c r="I45" s="10"/>
      <c r="J45" s="46" t="e">
        <f ca="1">IF(MONTH($C$1)&gt;MONTH(TODAY())+55000,0,COUNTIFS(ATBCL,"ATB10",INDIRECT(VLOOKUP(MONTH($C$1),$AF$18:$AG$29,2,0),1),1)+COUNTIFS(ATBCL,"ATB10",INDIRECT(VLOOKUP(MONTH($C$1),$AF$18:$AG$29,2,0),1),2)+COUNTIFS(ATBCL,"ATB10",INDIRECT(VLOOKUP(MONTH($C$1),$AF$18:$AG$29,2,0),1),3)+COUNTIFS(ATBCL,"ATB10",INDIRECT(VLOOKUP(MONTH($C$1),$AF$18:$AG$29,2,0),1),4))</f>
        <v>#REF!</v>
      </c>
      <c r="K45" s="10"/>
      <c r="L45" s="16" t="e">
        <f ca="1">J45/H45</f>
        <v>#REF!</v>
      </c>
      <c r="M45" s="10"/>
      <c r="N45" s="16">
        <f>$F$1</f>
        <v>0.5</v>
      </c>
      <c r="O45" s="8"/>
      <c r="P45" s="46" t="e">
        <f ca="1">COUNTIFS(ATBCL,"ATB10",INDIRECT(VLOOKUP(MONTH($C$1),$AF$19:$AG$30,2,0),1),3)+COUNTIFS(ATBCL,"ATB10",INDIRECT(VLOOKUP(MONTH($C$1),$AF$19:$AG$30,2,0),1),4)</f>
        <v>#REF!</v>
      </c>
      <c r="Q45" s="10"/>
      <c r="R45" s="16" t="e">
        <f t="shared" ca="1" si="2"/>
        <v>#REF!</v>
      </c>
      <c r="S45" s="10"/>
      <c r="T45" s="40" t="e">
        <f ca="1">P45/J45</f>
        <v>#REF!</v>
      </c>
      <c r="U45" s="8"/>
    </row>
    <row r="46" spans="1:35" ht="15.75" x14ac:dyDescent="0.25">
      <c r="A46" s="505"/>
      <c r="B46" s="504" t="s">
        <v>12</v>
      </c>
      <c r="C46" s="504"/>
      <c r="D46" s="504"/>
      <c r="E46" s="504"/>
      <c r="F46" s="504"/>
      <c r="G46" s="15"/>
      <c r="H46" s="46">
        <v>25</v>
      </c>
      <c r="I46" s="10"/>
      <c r="J46" s="46" t="e">
        <f ca="1">COUNTIFS(ATBLA,"ATB10",INDIRECT(VLOOKUP(MONTH($C$1),$AF$32:$AG$43,2,0),1),1)+COUNTIFS(ATBLA,"ATB10",INDIRECT(VLOOKUP(MONTH($C$1),$AF$32:$AG$43,2,0),1),2)+COUNTIFS(ATBLA,"ATB10",INDIRECT(VLOOKUP(MONTH($C$1),$AF$32:$AG$43,2,0),1),3)+COUNTIFS(ATBLA,"ATB10",INDIRECT(VLOOKUP(MONTH($C$1),$AF$32:$AG$43,2,0),1),4)</f>
        <v>#REF!</v>
      </c>
      <c r="K46" s="10"/>
      <c r="L46" s="16" t="e">
        <f ca="1">J46/H46</f>
        <v>#REF!</v>
      </c>
      <c r="M46" s="10"/>
      <c r="N46" s="16">
        <f>$F$1</f>
        <v>0.5</v>
      </c>
      <c r="O46" s="8"/>
      <c r="P46" s="46" t="e">
        <f ca="1">COUNTIFS(ATBLA,"ATB10",INDIRECT(VLOOKUP(MONTH($C$1),$AF$33:$AG$44,2,0),1),3)+COUNTIFS(ATBLA,"ATB10",INDIRECT(VLOOKUP(MONTH($C$1),$AF$33:$AG$44,2,0),1),4)</f>
        <v>#REF!</v>
      </c>
      <c r="Q46" s="10"/>
      <c r="R46" s="16" t="e">
        <f t="shared" ca="1" si="2"/>
        <v>#REF!</v>
      </c>
      <c r="S46" s="10"/>
      <c r="T46" s="40" t="e">
        <f ca="1">P46/J46</f>
        <v>#REF!</v>
      </c>
      <c r="U46" s="8"/>
    </row>
    <row r="47" spans="1:35" x14ac:dyDescent="0.25">
      <c r="A47" s="506"/>
      <c r="B47" s="504" t="s">
        <v>13</v>
      </c>
      <c r="C47" s="504"/>
      <c r="D47" s="504"/>
      <c r="E47" s="504"/>
      <c r="F47" s="504"/>
      <c r="G47" s="8"/>
      <c r="H47" s="46">
        <f>H44+H45+H46</f>
        <v>90</v>
      </c>
      <c r="I47" s="10"/>
      <c r="J47" s="46" t="e">
        <f ca="1">J44+J45+J46</f>
        <v>#REF!</v>
      </c>
      <c r="K47" s="10"/>
      <c r="L47" s="16" t="e">
        <f ca="1">J47/H47</f>
        <v>#REF!</v>
      </c>
      <c r="M47" s="10"/>
      <c r="N47" s="16">
        <f>$F$1</f>
        <v>0.5</v>
      </c>
      <c r="O47" s="8"/>
      <c r="P47" s="46" t="e">
        <f ca="1">SUM(P44:P46)</f>
        <v>#REF!</v>
      </c>
      <c r="Q47" s="10"/>
      <c r="R47" s="16" t="e">
        <f t="shared" ca="1" si="2"/>
        <v>#REF!</v>
      </c>
      <c r="S47" s="10"/>
      <c r="T47" s="40" t="e">
        <f ca="1">P47/J47</f>
        <v>#REF!</v>
      </c>
      <c r="U47" s="8"/>
    </row>
    <row r="48" spans="1:35" x14ac:dyDescent="0.25">
      <c r="A48" s="148"/>
      <c r="B48" s="8"/>
      <c r="C48" s="8"/>
      <c r="D48" s="8"/>
      <c r="E48" s="8"/>
      <c r="F48" s="8"/>
      <c r="G48" s="8"/>
      <c r="H48" s="47"/>
      <c r="I48" s="10"/>
      <c r="J48" s="47"/>
      <c r="K48" s="10"/>
      <c r="L48" s="11"/>
      <c r="M48" s="10"/>
      <c r="N48" s="11"/>
      <c r="O48" s="8"/>
      <c r="P48" s="47"/>
      <c r="Q48" s="10"/>
      <c r="R48" s="10"/>
      <c r="S48" s="10"/>
      <c r="T48" s="10"/>
      <c r="U48" s="8"/>
    </row>
    <row r="49" spans="1:21" ht="15.75" customHeight="1" x14ac:dyDescent="0.25">
      <c r="A49" s="502" t="s">
        <v>22</v>
      </c>
      <c r="B49" s="504" t="s">
        <v>10</v>
      </c>
      <c r="C49" s="504"/>
      <c r="D49" s="504"/>
      <c r="E49" s="504"/>
      <c r="F49" s="504"/>
      <c r="G49" s="15"/>
      <c r="H49" s="46">
        <v>15</v>
      </c>
      <c r="I49" s="10"/>
      <c r="J49" s="46" t="e">
        <f ca="1">IF(MONTH($C$1)&gt;MONTH(TODAY())+55000,"0",COUNTIFS(ATBCL,"ATB13",INDIRECT(VLOOKUP(MONTH($C$1),$AF$4:$AG$15,2,0),1),1)+COUNTIFS(ATBCL,"ATB13",INDIRECT(VLOOKUP(MONTH($C$1),$AF$4:$AG$15,2,0),1),2)+COUNTIFS(ATBCL,"ATB13",INDIRECT(VLOOKUP(MONTH($C$1),$AF$4:$AG$15,2,0),1),3)+COUNTIFS(ATBCL,"ATB13",INDIRECT(VLOOKUP(MONTH($C$1),$AF$4:$AG$15,2,0),1),4))</f>
        <v>#REF!</v>
      </c>
      <c r="K49" s="10"/>
      <c r="L49" s="16" t="e">
        <f ca="1">J49/H49</f>
        <v>#REF!</v>
      </c>
      <c r="M49" s="10"/>
      <c r="N49" s="16">
        <f>$F$1</f>
        <v>0.5</v>
      </c>
      <c r="O49" s="8"/>
      <c r="P49" s="46" t="e">
        <f ca="1">COUNTIFS(ATBCL,"ATB13",INDIRECT(VLOOKUP(MONTH($C$1),$AF$5:$AG$16,2,0),1),3)+COUNTIFS(ATBCL,"ATB13",INDIRECT(VLOOKUP(MONTH($C$1),$AF$5:$AG$16,2,0),1),4)</f>
        <v>#REF!</v>
      </c>
      <c r="Q49" s="10"/>
      <c r="R49" s="16" t="e">
        <f ca="1">P49/J49</f>
        <v>#REF!</v>
      </c>
      <c r="S49" s="10"/>
      <c r="T49" s="40" t="e">
        <f ca="1">P49/J49</f>
        <v>#REF!</v>
      </c>
      <c r="U49" s="8"/>
    </row>
    <row r="50" spans="1:21" ht="15.75" x14ac:dyDescent="0.25">
      <c r="A50" s="502"/>
      <c r="B50" s="504" t="s">
        <v>11</v>
      </c>
      <c r="C50" s="504"/>
      <c r="D50" s="504"/>
      <c r="E50" s="504"/>
      <c r="F50" s="504"/>
      <c r="G50" s="15"/>
      <c r="H50" s="46">
        <v>14</v>
      </c>
      <c r="I50" s="10"/>
      <c r="J50" s="46" t="e">
        <f ca="1">IF(MONTH($C$1)&gt;MONTH(TODAY())+55000,0,COUNTIFS(ATBCL,"ATB13",INDIRECT(VLOOKUP(MONTH($C$1),$AF$18:$AG$29,2,0),1),1)+COUNTIFS(ATBCL,"ATB13",INDIRECT(VLOOKUP(MONTH($C$1),$AF$18:$AG$29,2,0),1),2)+COUNTIFS(ATBCL,"ATB13",INDIRECT(VLOOKUP(MONTH($C$1),$AF$18:$AG$29,2,0),1),3)+COUNTIFS(ATBCL,"ATB13",INDIRECT(VLOOKUP(MONTH($C$1),$AF$18:$AG$29,2,0),1),4))</f>
        <v>#REF!</v>
      </c>
      <c r="K50" s="10"/>
      <c r="L50" s="16" t="e">
        <f ca="1">J50/H50</f>
        <v>#REF!</v>
      </c>
      <c r="M50" s="10"/>
      <c r="N50" s="16">
        <f>$F$1</f>
        <v>0.5</v>
      </c>
      <c r="O50" s="8"/>
      <c r="P50" s="46" t="e">
        <f ca="1">COUNTIFS(ATBCL,"ATB13",INDIRECT(VLOOKUP(MONTH($C$1),$AF$19:$AG$30,2,0),1),3)+COUNTIFS(ATBCL,"ATB13",INDIRECT(VLOOKUP(MONTH($C$1),$AF$19:$AG$30,2,0),1),4)</f>
        <v>#REF!</v>
      </c>
      <c r="Q50" s="10"/>
      <c r="R50" s="16" t="e">
        <f ca="1">P50/J50</f>
        <v>#REF!</v>
      </c>
      <c r="S50" s="10"/>
      <c r="T50" s="40" t="e">
        <f ca="1">P50/J50</f>
        <v>#REF!</v>
      </c>
      <c r="U50" s="8"/>
    </row>
    <row r="51" spans="1:21" ht="15.75" x14ac:dyDescent="0.25">
      <c r="A51" s="502"/>
      <c r="B51" s="504" t="s">
        <v>12</v>
      </c>
      <c r="C51" s="504"/>
      <c r="D51" s="504"/>
      <c r="E51" s="504"/>
      <c r="F51" s="504"/>
      <c r="G51" s="15"/>
      <c r="H51" s="46">
        <v>9</v>
      </c>
      <c r="I51" s="10"/>
      <c r="J51" s="46" t="e">
        <f ca="1">COUNTIFS(ATBLA,"ATB13",INDIRECT(VLOOKUP(MONTH($C$1),$AF$32:$AG$43,2,0),1),1)+COUNTIFS(ATBLA,"ATB13",INDIRECT(VLOOKUP(MONTH($C$1),$AF$32:$AG$43,2,0),1),2)+COUNTIFS(ATBLA,"ATB13",INDIRECT(VLOOKUP(MONTH($C$1),$AF$32:$AG$43,2,0),1),3)+COUNTIFS(ATBLA,"ATB13",INDIRECT(VLOOKUP(MONTH($C$1),$AF$32:$AG$43,2,0),1),4)</f>
        <v>#REF!</v>
      </c>
      <c r="K51" s="10"/>
      <c r="L51" s="16" t="e">
        <f ca="1">J51/H51</f>
        <v>#REF!</v>
      </c>
      <c r="M51" s="10"/>
      <c r="N51" s="16">
        <f>$F$1</f>
        <v>0.5</v>
      </c>
      <c r="O51" s="8"/>
      <c r="P51" s="46" t="e">
        <f ca="1">COUNTIFS(ATBLA,"ATB13",INDIRECT(VLOOKUP(MONTH($C$1),$AF$33:$AG$44,2,0),1),3)+COUNTIFS(ATBLA,"ATB13",INDIRECT(VLOOKUP(MONTH($C$1),$AF$33:$AG$44,2,0),1),4)</f>
        <v>#REF!</v>
      </c>
      <c r="Q51" s="10"/>
      <c r="R51" s="16" t="e">
        <f ca="1">P51/J51</f>
        <v>#REF!</v>
      </c>
      <c r="S51" s="10"/>
      <c r="T51" s="40" t="e">
        <f ca="1">P51/J51</f>
        <v>#REF!</v>
      </c>
      <c r="U51" s="8"/>
    </row>
    <row r="52" spans="1:21" x14ac:dyDescent="0.25">
      <c r="A52" s="503"/>
      <c r="B52" s="504" t="s">
        <v>13</v>
      </c>
      <c r="C52" s="504"/>
      <c r="D52" s="504"/>
      <c r="E52" s="504"/>
      <c r="F52" s="504"/>
      <c r="G52" s="8"/>
      <c r="H52" s="46">
        <f>H49+H50+H51</f>
        <v>38</v>
      </c>
      <c r="I52" s="10"/>
      <c r="J52" s="46" t="e">
        <f ca="1">J49+J50+J51</f>
        <v>#REF!</v>
      </c>
      <c r="K52" s="10"/>
      <c r="L52" s="16" t="e">
        <f ca="1">J52/H52</f>
        <v>#REF!</v>
      </c>
      <c r="M52" s="10"/>
      <c r="N52" s="16">
        <f>$F$1</f>
        <v>0.5</v>
      </c>
      <c r="O52" s="8"/>
      <c r="P52" s="46" t="e">
        <f ca="1">SUM(P49:P51)</f>
        <v>#REF!</v>
      </c>
      <c r="Q52" s="10"/>
      <c r="R52" s="16" t="e">
        <f ca="1">P52/J52</f>
        <v>#REF!</v>
      </c>
      <c r="S52" s="10"/>
      <c r="T52" s="40" t="e">
        <f ca="1">P52/J52</f>
        <v>#REF!</v>
      </c>
      <c r="U52" s="8"/>
    </row>
    <row r="53" spans="1:21" ht="15.75" customHeight="1" x14ac:dyDescent="0.25">
      <c r="U53" s="8"/>
    </row>
    <row r="54" spans="1:21" ht="15.75" customHeight="1" x14ac:dyDescent="0.25">
      <c r="A54" s="505" t="s">
        <v>23</v>
      </c>
      <c r="B54" s="504" t="s">
        <v>10</v>
      </c>
      <c r="C54" s="504"/>
      <c r="D54" s="504"/>
      <c r="E54" s="504"/>
      <c r="F54" s="504"/>
      <c r="G54" s="15"/>
      <c r="H54" s="46">
        <v>32</v>
      </c>
      <c r="I54" s="10"/>
      <c r="J54" s="46" t="e">
        <f ca="1">IF(MONTH($C$1)&gt;MONTH(TODAY())+55000,"0",COUNTIFS(ATBCL,"ATB14",INDIRECT(VLOOKUP(MONTH($C$1),$AF$4:$AG$15,2,0),1),1)+COUNTIFS(ATBCL,"ATB14",INDIRECT(VLOOKUP(MONTH($C$1),$AF$4:$AG$15,2,0),1),2)+COUNTIFS(ATBCL,"ATB14",INDIRECT(VLOOKUP(MONTH($C$1),$AF$4:$AG$15,2,0),1),3)+COUNTIFS(ATBCL,"ATB14",INDIRECT(VLOOKUP(MONTH($C$1),$AF$4:$AG$15,2,0),1),4))</f>
        <v>#REF!</v>
      </c>
      <c r="K54" s="10"/>
      <c r="L54" s="16" t="e">
        <f ca="1">J54/H54</f>
        <v>#REF!</v>
      </c>
      <c r="M54" s="10"/>
      <c r="N54" s="16">
        <f>$F$1</f>
        <v>0.5</v>
      </c>
      <c r="O54" s="8"/>
      <c r="P54" s="46" t="e">
        <f ca="1">COUNTIFS(ATBCL,"ATB14",INDIRECT(VLOOKUP(MONTH($C$1),$AF$5:$AG$16,2,0),1),3)+COUNTIFS(ATBCL,"ATB14",INDIRECT(VLOOKUP(MONTH($C$1),$AF$5:$AG$16,2,0),1),4)</f>
        <v>#REF!</v>
      </c>
      <c r="Q54" s="10"/>
      <c r="R54" s="16" t="e">
        <f ca="1">P54/J54</f>
        <v>#REF!</v>
      </c>
      <c r="S54" s="10"/>
      <c r="T54" s="40" t="e">
        <f ca="1">P54/J54</f>
        <v>#REF!</v>
      </c>
      <c r="U54" s="8"/>
    </row>
    <row r="55" spans="1:21" ht="15.75" customHeight="1" x14ac:dyDescent="0.25">
      <c r="A55" s="505"/>
      <c r="B55" s="504" t="s">
        <v>11</v>
      </c>
      <c r="C55" s="504"/>
      <c r="D55" s="504"/>
      <c r="E55" s="504"/>
      <c r="F55" s="504"/>
      <c r="G55" s="15"/>
      <c r="H55" s="46">
        <v>35</v>
      </c>
      <c r="I55" s="10"/>
      <c r="J55" s="46" t="e">
        <f ca="1">IF(MONTH($C$1)&gt;MONTH(TODAY())+55000,0,COUNTIFS(ATBCL,"ATB14",INDIRECT(VLOOKUP(MONTH($C$1),$AF$18:$AG$29,2,0),1),1)+COUNTIFS(ATBCL,"ATB14",INDIRECT(VLOOKUP(MONTH($C$1),$AF$18:$AG$29,2,0),1),2)+COUNTIFS(ATBCL,"ATB14",INDIRECT(VLOOKUP(MONTH($C$1),$AF$18:$AG$29,2,0),1),3)+COUNTIFS(ATBCL,"ATB14",INDIRECT(VLOOKUP(MONTH($C$1),$AF$18:$AG$29,2,0),1),4))</f>
        <v>#REF!</v>
      </c>
      <c r="K55" s="10"/>
      <c r="L55" s="16" t="e">
        <f ca="1">J55/H55</f>
        <v>#REF!</v>
      </c>
      <c r="M55" s="10"/>
      <c r="N55" s="16">
        <f>$F$1</f>
        <v>0.5</v>
      </c>
      <c r="O55" s="8"/>
      <c r="P55" s="46" t="e">
        <f ca="1">COUNTIFS(ATBCL,"ATB14",INDIRECT(VLOOKUP(MONTH($C$1),$AF$19:$AG$30,2,0),1),3)+COUNTIFS(ATBCL,"ATB14",INDIRECT(VLOOKUP(MONTH($C$1),$AF$19:$AG$30,2,0),1),4)</f>
        <v>#REF!</v>
      </c>
      <c r="Q55" s="10"/>
      <c r="R55" s="16" t="e">
        <f ca="1">P55/J55</f>
        <v>#REF!</v>
      </c>
      <c r="S55" s="10"/>
      <c r="T55" s="40" t="e">
        <f ca="1">P55/J55</f>
        <v>#REF!</v>
      </c>
      <c r="U55" s="8"/>
    </row>
    <row r="56" spans="1:21" ht="15.75" customHeight="1" x14ac:dyDescent="0.25">
      <c r="A56" s="505"/>
      <c r="B56" s="504" t="s">
        <v>12</v>
      </c>
      <c r="C56" s="504"/>
      <c r="D56" s="504"/>
      <c r="E56" s="504"/>
      <c r="F56" s="504"/>
      <c r="G56" s="15"/>
      <c r="H56" s="46">
        <v>26</v>
      </c>
      <c r="I56" s="10"/>
      <c r="J56" s="46" t="e">
        <f ca="1">COUNTIFS(ATBLA,"ATB14",INDIRECT(VLOOKUP(MONTH($C$1),$AF$32:$AG$43,2,0),1),1)+COUNTIFS(ATBLA,"ATB14",INDIRECT(VLOOKUP(MONTH($C$1),$AF$32:$AG$43,2,0),1),2)+COUNTIFS(ATBLA,"ATB14",INDIRECT(VLOOKUP(MONTH($C$1),$AF$32:$AG$43,2,0),1),3)+COUNTIFS(ATBLA,"ATB14",INDIRECT(VLOOKUP(MONTH($C$1),$AF$32:$AG$43,2,0),1),4)</f>
        <v>#REF!</v>
      </c>
      <c r="K56" s="10"/>
      <c r="L56" s="16" t="e">
        <f ca="1">J56/H56</f>
        <v>#REF!</v>
      </c>
      <c r="M56" s="10"/>
      <c r="N56" s="16">
        <f>$F$1</f>
        <v>0.5</v>
      </c>
      <c r="O56" s="8"/>
      <c r="P56" s="46" t="e">
        <f ca="1">COUNTIFS(ATBLA,"ATB14",INDIRECT(VLOOKUP(MONTH($C$1),$AF$33:$AG$44,2,0),1),3)+COUNTIFS(ATBLA,"ATB14",INDIRECT(VLOOKUP(MONTH($C$1),$AF$33:$AG$44,2,0),1),4)</f>
        <v>#REF!</v>
      </c>
      <c r="Q56" s="10"/>
      <c r="R56" s="16" t="e">
        <f ca="1">P56/J56</f>
        <v>#REF!</v>
      </c>
      <c r="S56" s="10"/>
      <c r="T56" s="40" t="e">
        <f ca="1">P56/J56</f>
        <v>#REF!</v>
      </c>
      <c r="U56" s="8"/>
    </row>
    <row r="57" spans="1:21" ht="15.75" customHeight="1" x14ac:dyDescent="0.25">
      <c r="A57" s="506"/>
      <c r="B57" s="504" t="s">
        <v>13</v>
      </c>
      <c r="C57" s="504"/>
      <c r="D57" s="504"/>
      <c r="E57" s="504"/>
      <c r="F57" s="504"/>
      <c r="G57" s="8"/>
      <c r="H57" s="46">
        <f>H54+H55+H56</f>
        <v>93</v>
      </c>
      <c r="I57" s="10"/>
      <c r="J57" s="46" t="e">
        <f ca="1">J54+J55+J56</f>
        <v>#REF!</v>
      </c>
      <c r="K57" s="10"/>
      <c r="L57" s="16" t="e">
        <f ca="1">J57/H57</f>
        <v>#REF!</v>
      </c>
      <c r="M57" s="10"/>
      <c r="N57" s="16">
        <f>$F$1</f>
        <v>0.5</v>
      </c>
      <c r="O57" s="8"/>
      <c r="P57" s="46" t="e">
        <f ca="1">SUM(P54:P56)</f>
        <v>#REF!</v>
      </c>
      <c r="Q57" s="10"/>
      <c r="R57" s="16" t="e">
        <f ca="1">P57/J57</f>
        <v>#REF!</v>
      </c>
      <c r="S57" s="10"/>
      <c r="T57" s="40" t="e">
        <f ca="1">P57/J57</f>
        <v>#REF!</v>
      </c>
      <c r="U57" s="8"/>
    </row>
    <row r="58" spans="1:21" ht="15.75" customHeight="1" x14ac:dyDescent="0.25">
      <c r="U58" s="8"/>
    </row>
    <row r="59" spans="1:21" ht="15.75" customHeight="1" x14ac:dyDescent="0.25">
      <c r="A59" s="510" t="s">
        <v>24</v>
      </c>
      <c r="B59" s="504" t="s">
        <v>10</v>
      </c>
      <c r="C59" s="504"/>
      <c r="D59" s="504"/>
      <c r="E59" s="504"/>
      <c r="F59" s="504"/>
      <c r="H59" s="66">
        <v>1</v>
      </c>
      <c r="J59" s="46" t="e">
        <f ca="1">IF(MONTH($C$1)&gt;MONTH(TODAY())+55000,"0",COUNTIFS(ATBCL,"ATB18",INDIRECT(VLOOKUP(MONTH($C$1),$AF$4:$AG$15,2,0),1),1)+COUNTIFS(ATBCL,"ATB18",INDIRECT(VLOOKUP(MONTH($C$1),$AF$4:$AG$15,2,0),1),2)+COUNTIFS(ATBCL,"ATB18",INDIRECT(VLOOKUP(MONTH($C$1),$AF$4:$AG$15,2,0),1),3)+COUNTIFS(ATBCL,"ATB18",INDIRECT(VLOOKUP(MONTH($C$1),$AF$4:$AG$15,2,0),1),4))</f>
        <v>#REF!</v>
      </c>
      <c r="K59" s="10"/>
      <c r="L59" s="16" t="e">
        <f ca="1">J59/H59</f>
        <v>#REF!</v>
      </c>
      <c r="M59" s="10"/>
      <c r="N59" s="16">
        <f>$F$1</f>
        <v>0.5</v>
      </c>
      <c r="O59" s="8"/>
      <c r="P59" s="46" t="e">
        <f ca="1">COUNTIFS(ATBCL,"ATB18",INDIRECT(VLOOKUP(MONTH($C$1),$AF$5:$AG$16,2,0),1),3)+COUNTIFS(ATBCL,"ATB18",INDIRECT(VLOOKUP(MONTH($C$1),$AF$5:$AG$16,2,0),1),4)</f>
        <v>#REF!</v>
      </c>
      <c r="Q59" s="10"/>
      <c r="R59" s="16" t="e">
        <f ca="1">P59/J59</f>
        <v>#REF!</v>
      </c>
      <c r="S59" s="10"/>
      <c r="T59" s="40" t="e">
        <f ca="1">P59/J59</f>
        <v>#REF!</v>
      </c>
    </row>
    <row r="60" spans="1:21" ht="15.75" customHeight="1" x14ac:dyDescent="0.25">
      <c r="A60" s="510"/>
      <c r="B60" s="504" t="s">
        <v>11</v>
      </c>
      <c r="C60" s="504"/>
      <c r="D60" s="504"/>
      <c r="E60" s="504"/>
      <c r="F60" s="504"/>
      <c r="H60" s="66">
        <v>1</v>
      </c>
      <c r="J60" s="46" t="e">
        <f ca="1">IF(MONTH($C$1)&gt;MONTH(TODAY())+55000,0,COUNTIFS(ATBCL,"ATB18",INDIRECT(VLOOKUP(MONTH($C$1),$AF$18:$AG$29,2,0),1),1)+COUNTIFS(ATBCL,"ATB18",INDIRECT(VLOOKUP(MONTH($C$1),$AF$18:$AG$29,2,0),1),2)+COUNTIFS(ATBCL,"ATB18",INDIRECT(VLOOKUP(MONTH($C$1),$AF$18:$AG$29,2,0),1),3)+COUNTIFS(ATBCL,"ATB18",INDIRECT(VLOOKUP(MONTH($C$1),$AF$18:$AG$29,2,0),1),4))</f>
        <v>#REF!</v>
      </c>
      <c r="K60" s="10"/>
      <c r="L60" s="16" t="e">
        <f ca="1">J60/H60</f>
        <v>#REF!</v>
      </c>
      <c r="M60" s="10"/>
      <c r="N60" s="16">
        <f>$F$1</f>
        <v>0.5</v>
      </c>
      <c r="O60" s="8"/>
      <c r="P60" s="46" t="e">
        <f ca="1">COUNTIFS(ATBCL,"ATB18",INDIRECT(VLOOKUP(MONTH($C$1),$AF$19:$AG$30,2,0),1),3)+COUNTIFS(ATBCL,"ATB18",INDIRECT(VLOOKUP(MONTH($C$1),$AF$19:$AG$30,2,0),1),4)</f>
        <v>#REF!</v>
      </c>
      <c r="Q60" s="10"/>
      <c r="R60" s="16" t="e">
        <f ca="1">P60/J60</f>
        <v>#REF!</v>
      </c>
      <c r="S60" s="10"/>
      <c r="T60" s="40" t="e">
        <f ca="1">P60/J60</f>
        <v>#REF!</v>
      </c>
    </row>
    <row r="61" spans="1:21" ht="15.75" customHeight="1" x14ac:dyDescent="0.25">
      <c r="A61" s="510"/>
      <c r="B61" s="504" t="s">
        <v>12</v>
      </c>
      <c r="C61" s="504"/>
      <c r="D61" s="504"/>
      <c r="E61" s="504"/>
      <c r="F61" s="504"/>
      <c r="H61" s="66">
        <v>1</v>
      </c>
      <c r="J61" s="46" t="e">
        <f ca="1">COUNTIFS(ATBLA,"ATB18",INDIRECT(VLOOKUP(MONTH($C$1),$AF$32:$AG$43,2,0),1),1)+COUNTIFS(ATBLA,"ATB18",INDIRECT(VLOOKUP(MONTH($C$1),$AF$32:$AG$43,2,0),1),2)+COUNTIFS(ATBLA,"ATB18",INDIRECT(VLOOKUP(MONTH($C$1),$AF$32:$AG$43,2,0),1),3)+COUNTIFS(ATBLA,"ATB18",INDIRECT(VLOOKUP(MONTH($C$1),$AF$32:$AG$43,2,0),1),4)</f>
        <v>#REF!</v>
      </c>
      <c r="K61" s="10"/>
      <c r="L61" s="16" t="e">
        <f ca="1">J61/H61</f>
        <v>#REF!</v>
      </c>
      <c r="M61" s="10"/>
      <c r="N61" s="16">
        <f>$F$1</f>
        <v>0.5</v>
      </c>
      <c r="O61" s="8"/>
      <c r="P61" s="46" t="e">
        <f ca="1">COUNTIFS(ATBLA,"ATB18",INDIRECT(VLOOKUP(MONTH($C$1),$AF$33:$AG$44,2,0),1),3)+COUNTIFS(ATBLA,"ATB18",INDIRECT(VLOOKUP(MONTH($C$1),$AF$33:$AG$44,2,0),1),4)</f>
        <v>#REF!</v>
      </c>
      <c r="Q61" s="10"/>
      <c r="R61" s="16" t="e">
        <f ca="1">P61/J61</f>
        <v>#REF!</v>
      </c>
      <c r="S61" s="10"/>
      <c r="T61" s="40" t="e">
        <f ca="1">P61/J61</f>
        <v>#REF!</v>
      </c>
    </row>
    <row r="62" spans="1:21" ht="15.75" customHeight="1" x14ac:dyDescent="0.25">
      <c r="A62" s="511"/>
      <c r="B62" s="504" t="s">
        <v>13</v>
      </c>
      <c r="C62" s="504"/>
      <c r="D62" s="504"/>
      <c r="E62" s="504"/>
      <c r="F62" s="504"/>
      <c r="H62" s="144">
        <f>SUM(H59:H61)</f>
        <v>3</v>
      </c>
      <c r="J62" s="46" t="e">
        <f ca="1">J59+J60+J61</f>
        <v>#REF!</v>
      </c>
      <c r="K62" s="10"/>
      <c r="L62" s="16" t="e">
        <f ca="1">J62/H62</f>
        <v>#REF!</v>
      </c>
      <c r="M62" s="10"/>
      <c r="N62" s="16">
        <f>$F$1</f>
        <v>0.5</v>
      </c>
      <c r="O62" s="8"/>
      <c r="P62" s="46" t="e">
        <f ca="1">SUM(P59:P61)</f>
        <v>#REF!</v>
      </c>
      <c r="Q62" s="10"/>
      <c r="R62" s="16" t="e">
        <f ca="1">P62/J62</f>
        <v>#REF!</v>
      </c>
      <c r="S62" s="10"/>
      <c r="T62" s="40" t="e">
        <f ca="1">P62/J62</f>
        <v>#REF!</v>
      </c>
    </row>
    <row r="63" spans="1:21" ht="16.5" customHeight="1" x14ac:dyDescent="0.25">
      <c r="H63"/>
      <c r="J63"/>
      <c r="P63"/>
    </row>
    <row r="64" spans="1:21" ht="16.5" customHeight="1" x14ac:dyDescent="0.25">
      <c r="A64" s="510" t="s">
        <v>25</v>
      </c>
      <c r="B64" s="507" t="s">
        <v>10</v>
      </c>
      <c r="C64" s="508"/>
      <c r="D64" s="508"/>
      <c r="E64" s="508"/>
      <c r="F64" s="509"/>
      <c r="H64" s="66">
        <v>3</v>
      </c>
      <c r="J64" s="46" t="e">
        <f ca="1">IF(MONTH($C$1)&gt;MONTH(TODAY())+55000,"0",COUNTIFS(ATBCL,"ATB19",INDIRECT(VLOOKUP(MONTH($C$1),$AF$4:$AG$15,2,0),1),1)+COUNTIFS(ATBCL,"ATB19",INDIRECT(VLOOKUP(MONTH($C$1),$AF$4:$AG$15,2,0),1),2)+COUNTIFS(ATBCL,"ATB19",INDIRECT(VLOOKUP(MONTH($C$1),$AF$4:$AG$15,2,0),1),3)+COUNTIFS(ATBCL,"ATB19",INDIRECT(VLOOKUP(MONTH($C$1),$AF$4:$AG$15,2,0),1),4))</f>
        <v>#REF!</v>
      </c>
      <c r="K64" s="10"/>
      <c r="L64" s="16" t="e">
        <f ca="1">J64/H64</f>
        <v>#REF!</v>
      </c>
      <c r="M64" s="10"/>
      <c r="N64" s="16">
        <f>$F$1</f>
        <v>0.5</v>
      </c>
      <c r="O64" s="8"/>
      <c r="P64" s="46" t="e">
        <f ca="1">COUNTIFS(ATBCL,"ATB19",INDIRECT(VLOOKUP(MONTH($C$1),$AF$5:$AG$16,2,0),1),3)+COUNTIFS(ATBCL,"ATB19",INDIRECT(VLOOKUP(MONTH($C$1),$AF$5:$AG$16,2,0),1),4)</f>
        <v>#REF!</v>
      </c>
      <c r="Q64" s="10"/>
      <c r="R64" s="16" t="e">
        <f ca="1">P64/J64</f>
        <v>#REF!</v>
      </c>
      <c r="S64" s="10"/>
      <c r="T64" s="40" t="e">
        <f ca="1">P64/J64</f>
        <v>#REF!</v>
      </c>
    </row>
    <row r="65" spans="1:21" ht="16.5" customHeight="1" x14ac:dyDescent="0.25">
      <c r="A65" s="510"/>
      <c r="B65" s="507" t="s">
        <v>11</v>
      </c>
      <c r="C65" s="508"/>
      <c r="D65" s="508"/>
      <c r="E65" s="508"/>
      <c r="F65" s="509"/>
      <c r="H65" s="66">
        <v>2</v>
      </c>
      <c r="J65" s="46" t="e">
        <f ca="1">IF(MONTH($C$1)&gt;MONTH(TODAY())+55000,0,COUNTIFS(ATBCL,"ATB19",INDIRECT(VLOOKUP(MONTH($C$1),$AF$18:$AG$29,2,0),1),1)+COUNTIFS(ATBCL,"ATB19",INDIRECT(VLOOKUP(MONTH($C$1),$AF$18:$AG$29,2,0),1),2)+COUNTIFS(ATBCL,"ATB19",INDIRECT(VLOOKUP(MONTH($C$1),$AF$18:$AG$29,2,0),1),3)+COUNTIFS(ATBCL,"ATB19",INDIRECT(VLOOKUP(MONTH($C$1),$AF$18:$AG$29,2,0),1),4))</f>
        <v>#REF!</v>
      </c>
      <c r="K65" s="10"/>
      <c r="L65" s="16" t="e">
        <f ca="1">J65/H65</f>
        <v>#REF!</v>
      </c>
      <c r="M65" s="10"/>
      <c r="N65" s="16">
        <f>$F$1</f>
        <v>0.5</v>
      </c>
      <c r="O65" s="8"/>
      <c r="P65" s="46" t="e">
        <f ca="1">COUNTIFS(ATBCL,"ATB19",INDIRECT(VLOOKUP(MONTH($C$1),$AF$19:$AG$30,2,0),1),3)+COUNTIFS(ATBCL,"ATB19",INDIRECT(VLOOKUP(MONTH($C$1),$AF$19:$AG$30,2,0),1),4)</f>
        <v>#REF!</v>
      </c>
      <c r="Q65" s="10"/>
      <c r="R65" s="16" t="e">
        <f ca="1">P65/J65</f>
        <v>#REF!</v>
      </c>
      <c r="S65" s="10"/>
      <c r="T65" s="40" t="e">
        <f ca="1">P65/J65</f>
        <v>#REF!</v>
      </c>
    </row>
    <row r="66" spans="1:21" ht="15.75" customHeight="1" x14ac:dyDescent="0.25">
      <c r="A66" s="510"/>
      <c r="B66" s="507" t="s">
        <v>12</v>
      </c>
      <c r="C66" s="508"/>
      <c r="D66" s="508"/>
      <c r="E66" s="508"/>
      <c r="F66" s="509"/>
      <c r="H66" s="66">
        <v>1</v>
      </c>
      <c r="J66" s="46" t="e">
        <f ca="1">COUNTIFS(ATBLA,"ATB19",INDIRECT(VLOOKUP(MONTH($C$1),$AF$32:$AG$43,2,0),1),1)+COUNTIFS(ATBLA,"ATB19",INDIRECT(VLOOKUP(MONTH($C$1),$AF$32:$AG$43,2,0),1),2)+COUNTIFS(ATBLA,"ATB19",INDIRECT(VLOOKUP(MONTH($C$1),$AF$32:$AG$43,2,0),1),3)+COUNTIFS(ATBLA,"ATB19",INDIRECT(VLOOKUP(MONTH($C$1),$AF$32:$AG$43,2,0),1),4)</f>
        <v>#REF!</v>
      </c>
      <c r="K66" s="10"/>
      <c r="L66" s="16" t="e">
        <f ca="1">J66/H66</f>
        <v>#REF!</v>
      </c>
      <c r="M66" s="10"/>
      <c r="N66" s="16">
        <f>$F$1</f>
        <v>0.5</v>
      </c>
      <c r="O66" s="8"/>
      <c r="P66" s="46" t="e">
        <f ca="1">COUNTIFS(ATBLA,"ATB19",INDIRECT(VLOOKUP(MONTH($C$1),$AF$33:$AG$44,2,0),1),3)+COUNTIFS(ATBLA,"ATB19",INDIRECT(VLOOKUP(MONTH($C$1),$AF$33:$AG$44,2,0),1),4)</f>
        <v>#REF!</v>
      </c>
      <c r="Q66" s="10"/>
      <c r="R66" s="16" t="e">
        <f ca="1">P66/J66</f>
        <v>#REF!</v>
      </c>
      <c r="S66" s="10"/>
      <c r="T66" s="40" t="e">
        <f ca="1">P66/J66</f>
        <v>#REF!</v>
      </c>
    </row>
    <row r="67" spans="1:21" ht="15.75" customHeight="1" x14ac:dyDescent="0.25">
      <c r="A67" s="510"/>
      <c r="B67" s="507" t="s">
        <v>13</v>
      </c>
      <c r="C67" s="508"/>
      <c r="D67" s="508"/>
      <c r="E67" s="508"/>
      <c r="F67" s="509"/>
      <c r="H67" s="144">
        <v>3</v>
      </c>
      <c r="J67" s="46" t="e">
        <f ca="1">J64+J65+J66</f>
        <v>#REF!</v>
      </c>
      <c r="K67" s="10"/>
      <c r="L67" s="16" t="e">
        <f ca="1">J67/H67</f>
        <v>#REF!</v>
      </c>
      <c r="M67" s="10"/>
      <c r="N67" s="16">
        <f>$F$1</f>
        <v>0.5</v>
      </c>
      <c r="O67" s="8"/>
      <c r="P67" s="46" t="e">
        <f ca="1">SUM(P64:P66)</f>
        <v>#REF!</v>
      </c>
      <c r="Q67" s="10"/>
      <c r="R67" s="16" t="e">
        <f ca="1">P67/J67</f>
        <v>#REF!</v>
      </c>
      <c r="S67" s="10"/>
      <c r="T67" s="40" t="e">
        <f ca="1">P67/J67</f>
        <v>#REF!</v>
      </c>
    </row>
    <row r="68" spans="1:21" ht="15.75" customHeight="1" x14ac:dyDescent="0.25">
      <c r="H68"/>
      <c r="J68"/>
      <c r="P68"/>
    </row>
    <row r="69" spans="1:21" ht="15.75" customHeight="1" x14ac:dyDescent="0.25">
      <c r="A69" s="510" t="s">
        <v>26</v>
      </c>
      <c r="B69" s="507" t="s">
        <v>10</v>
      </c>
      <c r="C69" s="508"/>
      <c r="D69" s="508"/>
      <c r="E69" s="508"/>
      <c r="F69" s="509"/>
      <c r="H69" s="66">
        <v>19</v>
      </c>
      <c r="J69" s="46" t="e">
        <f ca="1">IF(MONTH($C$1)&gt;MONTH(TODAY())+55000,"0",COUNTIFS(ATBCL,"East Team 1",INDIRECT(VLOOKUP(MONTH($C$1),$AF$4:$AG$15,2,0),1),1)+COUNTIFS(ATBCL,"East Team 1",INDIRECT(VLOOKUP(MONTH($C$1),$AF$4:$AG$15,2,0),1),2)+COUNTIFS(ATBCL,"East Team 1",INDIRECT(VLOOKUP(MONTH($C$1),$AF$4:$AG$15,2,0),1),3)+COUNTIFS(ATBCL,"East Team 1",INDIRECT(VLOOKUP(MONTH($C$1),$AF$4:$AG$15,2,0),1),4))</f>
        <v>#REF!</v>
      </c>
      <c r="K69" s="10"/>
      <c r="L69" s="16" t="e">
        <f ca="1">J69/H69</f>
        <v>#REF!</v>
      </c>
      <c r="M69" s="10"/>
      <c r="N69" s="16">
        <f>$F$1</f>
        <v>0.5</v>
      </c>
      <c r="O69" s="8"/>
      <c r="P69" s="46" t="e">
        <f ca="1">COUNTIFS(ATBCL,"East Team 1",INDIRECT(VLOOKUP(MONTH($C$1),$AF$5:$AG$16,2,0),1),3)+COUNTIFS(ATBCL,"East Team 1",INDIRECT(VLOOKUP(MONTH($C$1),$AF$5:$AG$16,2,0),1),4)</f>
        <v>#REF!</v>
      </c>
      <c r="Q69" s="10"/>
      <c r="R69" s="16" t="e">
        <f ca="1">P69/J69</f>
        <v>#REF!</v>
      </c>
      <c r="S69" s="10"/>
      <c r="T69" s="40" t="e">
        <f ca="1">P69/J69</f>
        <v>#REF!</v>
      </c>
      <c r="U69" s="8"/>
    </row>
    <row r="70" spans="1:21" ht="15.75" customHeight="1" x14ac:dyDescent="0.25">
      <c r="A70" s="510"/>
      <c r="B70" s="507" t="s">
        <v>11</v>
      </c>
      <c r="C70" s="508"/>
      <c r="D70" s="508"/>
      <c r="E70" s="508"/>
      <c r="F70" s="509"/>
      <c r="H70" s="66">
        <v>19</v>
      </c>
      <c r="J70" s="46" t="e">
        <f ca="1">IF(MONTH($C$1)&gt;MONTH(TODAY())+55000,0,COUNTIFS(ATBCL,"East Team 1",INDIRECT(VLOOKUP(MONTH($C$1),$AF$18:$AG$29,2,0),1),1)+COUNTIFS(ATBCL,"East Team 1",INDIRECT(VLOOKUP(MONTH($C$1),$AF$18:$AG$29,2,0),1),2)+COUNTIFS(ATBCL,"East Team 1",INDIRECT(VLOOKUP(MONTH($C$1),$AF$18:$AG$29,2,0),1),3)+COUNTIFS(ATBCL,"East Team 1",INDIRECT(VLOOKUP(MONTH($C$1),$AF$18:$AG$29,2,0),1),4))</f>
        <v>#REF!</v>
      </c>
      <c r="K70" s="10"/>
      <c r="L70" s="16" t="e">
        <f ca="1">J70/H70</f>
        <v>#REF!</v>
      </c>
      <c r="M70" s="10"/>
      <c r="N70" s="16">
        <f>$F$1</f>
        <v>0.5</v>
      </c>
      <c r="O70" s="8"/>
      <c r="P70" s="46" t="e">
        <f ca="1">COUNTIFS(ATBCL,"East Team 1",INDIRECT(VLOOKUP(MONTH($C$1),$AF$19:$AG$30,2,0),1),3)+COUNTIFS(ATBCL,"East Team 1",INDIRECT(VLOOKUP(MONTH($C$1),$AF$19:$AG$30,2,0),1),4)</f>
        <v>#REF!</v>
      </c>
      <c r="Q70" s="10"/>
      <c r="R70" s="16" t="e">
        <f ca="1">P70/J70</f>
        <v>#REF!</v>
      </c>
      <c r="S70" s="10"/>
      <c r="T70" s="40" t="e">
        <f ca="1">P70/J70</f>
        <v>#REF!</v>
      </c>
      <c r="U70" s="8"/>
    </row>
    <row r="71" spans="1:21" ht="15.75" customHeight="1" x14ac:dyDescent="0.25">
      <c r="A71" s="510"/>
      <c r="B71" s="507" t="s">
        <v>12</v>
      </c>
      <c r="C71" s="508"/>
      <c r="D71" s="508"/>
      <c r="E71" s="508"/>
      <c r="F71" s="509"/>
      <c r="H71" s="66">
        <v>20</v>
      </c>
      <c r="J71" s="46" t="e">
        <f ca="1">COUNTIFS(ATBLA,"East Team 1",INDIRECT(VLOOKUP(MONTH($C$1),$AF$32:$AG$43,2,0),1),1)+COUNTIFS(ATBLA,"East Team 1",INDIRECT(VLOOKUP(MONTH($C$1),$AF$32:$AG$43,2,0),1),2)+COUNTIFS(ATBLA,"East Team 1",INDIRECT(VLOOKUP(MONTH($C$1),$AF$32:$AG$43,2,0),1),3)+COUNTIFS(ATBLA,"East Team 1",INDIRECT(VLOOKUP(MONTH($C$1),$AF$32:$AG$43,2,0),1),4)</f>
        <v>#REF!</v>
      </c>
      <c r="K71" s="10"/>
      <c r="L71" s="16" t="e">
        <f ca="1">J71/H71</f>
        <v>#REF!</v>
      </c>
      <c r="M71" s="10"/>
      <c r="N71" s="16">
        <f>$F$1</f>
        <v>0.5</v>
      </c>
      <c r="O71" s="8"/>
      <c r="P71" s="46" t="e">
        <f ca="1">COUNTIFS(ATBLA,"East Team 1",INDIRECT(VLOOKUP(MONTH($C$1),$AF$33:$AG$44,2,0),1),3)+COUNTIFS(ATBLA,"East Team 1",INDIRECT(VLOOKUP(MONTH($C$1),$AF$33:$AG$44,2,0),1),4)</f>
        <v>#REF!</v>
      </c>
      <c r="Q71" s="10"/>
      <c r="R71" s="16" t="e">
        <f ca="1">P71/J71</f>
        <v>#REF!</v>
      </c>
      <c r="S71" s="10"/>
      <c r="T71" s="40" t="e">
        <f ca="1">P71/J71</f>
        <v>#REF!</v>
      </c>
      <c r="U71" s="8"/>
    </row>
    <row r="72" spans="1:21" ht="15.75" customHeight="1" x14ac:dyDescent="0.25">
      <c r="A72" s="511"/>
      <c r="B72" s="504" t="s">
        <v>13</v>
      </c>
      <c r="C72" s="504"/>
      <c r="D72" s="504"/>
      <c r="E72" s="504"/>
      <c r="F72" s="504"/>
      <c r="H72" s="66">
        <f>SUM(H69:H71)</f>
        <v>58</v>
      </c>
      <c r="J72" s="46" t="e">
        <f ca="1">J69+J70+J71</f>
        <v>#REF!</v>
      </c>
      <c r="K72" s="10"/>
      <c r="L72" s="16" t="e">
        <f ca="1">J72/H72</f>
        <v>#REF!</v>
      </c>
      <c r="M72" s="10"/>
      <c r="N72" s="16">
        <f>$F$1</f>
        <v>0.5</v>
      </c>
      <c r="O72" s="8"/>
      <c r="P72" s="46" t="e">
        <f ca="1">SUM(P69:P71)</f>
        <v>#REF!</v>
      </c>
      <c r="Q72" s="10"/>
      <c r="R72" s="16" t="e">
        <f ca="1">P72/J72</f>
        <v>#REF!</v>
      </c>
      <c r="S72" s="10"/>
      <c r="T72" s="40" t="e">
        <f ca="1">P72/J72</f>
        <v>#REF!</v>
      </c>
      <c r="U72" s="8"/>
    </row>
    <row r="73" spans="1:21" ht="15.75" customHeight="1" x14ac:dyDescent="0.25">
      <c r="A73" s="8"/>
      <c r="B73" s="8"/>
      <c r="C73" s="8"/>
      <c r="D73" s="8"/>
      <c r="E73" s="8"/>
      <c r="F73" s="8"/>
      <c r="G73" s="8"/>
      <c r="H73" s="47"/>
      <c r="I73" s="10"/>
      <c r="J73" s="47"/>
      <c r="K73" s="10"/>
      <c r="L73" s="11"/>
      <c r="M73" s="10"/>
      <c r="N73" s="11"/>
      <c r="O73" s="8"/>
      <c r="P73" s="48"/>
      <c r="Q73" s="8"/>
      <c r="R73" s="8"/>
      <c r="S73" s="8"/>
      <c r="T73" s="8"/>
      <c r="U73" s="8"/>
    </row>
    <row r="74" spans="1:21" ht="15.75" customHeight="1" x14ac:dyDescent="0.25">
      <c r="A74" s="510" t="s">
        <v>27</v>
      </c>
      <c r="B74" s="504" t="s">
        <v>10</v>
      </c>
      <c r="C74" s="504"/>
      <c r="D74" s="504"/>
      <c r="E74" s="504"/>
      <c r="F74" s="504"/>
      <c r="H74" s="66">
        <v>44</v>
      </c>
      <c r="J74" s="46" t="e">
        <f ca="1">IF(MONTH($C$1)&gt;MONTH(TODAY())+55000,"0",COUNTIFS(ATBCL,"East Team 2",INDIRECT(VLOOKUP(MONTH($C$1),$AF$4:$AG$15,2,0),1),1)+COUNTIFS(ATBCL,"East Team 2",INDIRECT(VLOOKUP(MONTH($C$1),$AF$4:$AG$15,2,0),1),2)+COUNTIFS(ATBCL,"East Team 2",INDIRECT(VLOOKUP(MONTH($C$1),$AF$4:$AG$15,2,0),1),3)+COUNTIFS(ATBCL,"East Team 2",INDIRECT(VLOOKUP(MONTH($C$1),$AF$4:$AG$15,2,0),1),4))</f>
        <v>#REF!</v>
      </c>
      <c r="K74" s="10"/>
      <c r="L74" s="16" t="e">
        <f ca="1">J74/H74</f>
        <v>#REF!</v>
      </c>
      <c r="M74" s="10"/>
      <c r="N74" s="16">
        <f>$F$1</f>
        <v>0.5</v>
      </c>
      <c r="O74" s="8"/>
      <c r="P74" s="46" t="e">
        <f ca="1">COUNTIFS(ATBCL,"East Team 2",INDIRECT(VLOOKUP(MONTH($C$1),$AF$5:$AG$16,2,0),1),3)+COUNTIFS(ATBCL,"East Team 2",INDIRECT(VLOOKUP(MONTH($C$1),$AF$5:$AG$16,2,0),1),4)</f>
        <v>#REF!</v>
      </c>
      <c r="Q74" s="10"/>
      <c r="R74" s="16" t="e">
        <f ca="1">P74/J74</f>
        <v>#REF!</v>
      </c>
      <c r="S74" s="10"/>
      <c r="T74" s="40" t="e">
        <f ca="1">P74/J74</f>
        <v>#REF!</v>
      </c>
      <c r="U74" s="8"/>
    </row>
    <row r="75" spans="1:21" ht="15.75" customHeight="1" x14ac:dyDescent="0.25">
      <c r="A75" s="512"/>
      <c r="B75" s="504" t="s">
        <v>11</v>
      </c>
      <c r="C75" s="504"/>
      <c r="D75" s="504"/>
      <c r="E75" s="504"/>
      <c r="F75" s="504"/>
      <c r="H75" s="66">
        <v>44</v>
      </c>
      <c r="J75" s="46" t="e">
        <f ca="1">IF(MONTH($C$1)&gt;MONTH(TODAY())+55000,0,COUNTIFS(ATBCL,"East Team 2",INDIRECT(VLOOKUP(MONTH($C$1),$AF$18:$AG$29,2,0),1),1)+COUNTIFS(ATBCL,"East Team 2",INDIRECT(VLOOKUP(MONTH($C$1),$AF$18:$AG$29,2,0),1),2)+COUNTIFS(ATBCL,"East Team 2",INDIRECT(VLOOKUP(MONTH($C$1),$AF$18:$AG$29,2,0),1),3)+COUNTIFS(ATBCL,"East Team 2",INDIRECT(VLOOKUP(MONTH($C$1),$AF$18:$AG$29,2,0),1),4))</f>
        <v>#REF!</v>
      </c>
      <c r="K75" s="10"/>
      <c r="L75" s="16" t="e">
        <f ca="1">J75/H75</f>
        <v>#REF!</v>
      </c>
      <c r="M75" s="10"/>
      <c r="N75" s="16">
        <f>$F$1</f>
        <v>0.5</v>
      </c>
      <c r="O75" s="8"/>
      <c r="P75" s="46" t="e">
        <f ca="1">COUNTIFS(ATBCL,"East Team 2",INDIRECT(VLOOKUP(MONTH($C$1),$AF$19:$AG$30,2,0),1),3)+COUNTIFS(ATBCL,"East Team 2",INDIRECT(VLOOKUP(MONTH($C$1),$AF$19:$AG$30,2,0),1),4)</f>
        <v>#REF!</v>
      </c>
      <c r="Q75" s="10"/>
      <c r="R75" s="16" t="e">
        <f ca="1">P75/J75</f>
        <v>#REF!</v>
      </c>
      <c r="S75" s="10"/>
      <c r="T75" s="40" t="e">
        <f ca="1">P75/J75</f>
        <v>#REF!</v>
      </c>
      <c r="U75" s="8"/>
    </row>
    <row r="76" spans="1:21" ht="15.75" customHeight="1" x14ac:dyDescent="0.25">
      <c r="A76" s="512"/>
      <c r="B76" s="504" t="s">
        <v>12</v>
      </c>
      <c r="C76" s="504"/>
      <c r="D76" s="504"/>
      <c r="E76" s="504"/>
      <c r="F76" s="504"/>
      <c r="H76" s="66">
        <v>35</v>
      </c>
      <c r="J76" s="46" t="e">
        <f ca="1">COUNTIFS(ATBLA,"East Team 2",INDIRECT(VLOOKUP(MONTH($C$1),$AF$32:$AG$43,2,0),1),1)+COUNTIFS(ATBLA,"East Team 2",INDIRECT(VLOOKUP(MONTH($C$1),$AF$32:$AG$43,2,0),1),2)+COUNTIFS(ATBLA,"East Team 2",INDIRECT(VLOOKUP(MONTH($C$1),$AF$32:$AG$43,2,0),1),3)+COUNTIFS(ATBLA,"East Team 2",INDIRECT(VLOOKUP(MONTH($C$1),$AF$32:$AG$43,2,0),1),4)</f>
        <v>#REF!</v>
      </c>
      <c r="K76" s="10"/>
      <c r="L76" s="16" t="e">
        <f ca="1">J76/H76</f>
        <v>#REF!</v>
      </c>
      <c r="M76" s="10"/>
      <c r="N76" s="16">
        <f>$F$1</f>
        <v>0.5</v>
      </c>
      <c r="O76" s="8"/>
      <c r="P76" s="46" t="e">
        <f ca="1">COUNTIFS(ATBLA,"East Team 2",INDIRECT(VLOOKUP(MONTH($C$1),$AF$33:$AG$44,2,0),1),3)+COUNTIFS(ATBLA,"East Team 2",INDIRECT(VLOOKUP(MONTH($C$1),$AF$33:$AG$44,2,0),1),4)</f>
        <v>#REF!</v>
      </c>
      <c r="Q76" s="10"/>
      <c r="R76" s="16" t="e">
        <f ca="1">P76/J76</f>
        <v>#REF!</v>
      </c>
      <c r="S76" s="10"/>
      <c r="T76" s="40" t="e">
        <f ca="1">P76/J76</f>
        <v>#REF!</v>
      </c>
      <c r="U76" s="8"/>
    </row>
    <row r="77" spans="1:21" ht="15.75" customHeight="1" x14ac:dyDescent="0.25">
      <c r="A77" s="513"/>
      <c r="B77" s="504" t="s">
        <v>13</v>
      </c>
      <c r="C77" s="504"/>
      <c r="D77" s="504"/>
      <c r="E77" s="504"/>
      <c r="F77" s="504"/>
      <c r="H77" s="60">
        <f>SUM(H74:H76)</f>
        <v>123</v>
      </c>
      <c r="J77" s="46" t="e">
        <f ca="1">J74+J75+J76</f>
        <v>#REF!</v>
      </c>
      <c r="K77" s="10"/>
      <c r="L77" s="16" t="e">
        <f ca="1">J77/H77</f>
        <v>#REF!</v>
      </c>
      <c r="M77" s="10"/>
      <c r="N77" s="16">
        <f>$F$1</f>
        <v>0.5</v>
      </c>
      <c r="O77" s="8"/>
      <c r="P77" s="46" t="e">
        <f ca="1">SUM(P74:P76)</f>
        <v>#REF!</v>
      </c>
      <c r="Q77" s="10"/>
      <c r="R77" s="16" t="e">
        <f ca="1">P77/J77</f>
        <v>#REF!</v>
      </c>
      <c r="S77" s="10"/>
      <c r="T77" s="40" t="e">
        <f ca="1">P77/J77</f>
        <v>#REF!</v>
      </c>
      <c r="U77" s="8"/>
    </row>
    <row r="78" spans="1:21" ht="15.75" customHeight="1" x14ac:dyDescent="0.25">
      <c r="A78" s="8"/>
      <c r="B78" s="8"/>
      <c r="C78" s="8"/>
      <c r="D78" s="8"/>
      <c r="E78" s="8"/>
      <c r="F78" s="8"/>
      <c r="G78" s="8"/>
      <c r="H78" s="47"/>
      <c r="I78" s="10"/>
      <c r="J78" s="47"/>
      <c r="K78" s="10"/>
      <c r="L78" s="11"/>
      <c r="M78" s="10"/>
      <c r="N78" s="11"/>
      <c r="O78" s="8"/>
      <c r="P78" s="48"/>
      <c r="Q78" s="8"/>
      <c r="R78" s="8"/>
      <c r="S78" s="8"/>
      <c r="T78" s="8"/>
      <c r="U78" s="8"/>
    </row>
    <row r="79" spans="1:21" ht="15.75" customHeight="1" x14ac:dyDescent="0.25">
      <c r="A79" s="510" t="s">
        <v>28</v>
      </c>
      <c r="B79" s="504" t="s">
        <v>10</v>
      </c>
      <c r="C79" s="504"/>
      <c r="D79" s="504"/>
      <c r="E79" s="504"/>
      <c r="F79" s="504"/>
      <c r="H79" s="66">
        <v>41</v>
      </c>
      <c r="J79" s="46" t="e">
        <f ca="1">IF(MONTH($C$1)&gt;MONTH(TODAY())+55000,"0",COUNTIFS(ATBCL,"East Team 3",INDIRECT(VLOOKUP(MONTH($C$1),$AF$4:$AG$15,2,0),1),1)+COUNTIFS(ATBCL,"East Team 3",INDIRECT(VLOOKUP(MONTH($C$1),$AF$4:$AG$15,2,0),1),2)+COUNTIFS(ATBCL,"East Team 3",INDIRECT(VLOOKUP(MONTH($C$1),$AF$4:$AG$15,2,0),1),3)+COUNTIFS(ATBCL,"East Team 3",INDIRECT(VLOOKUP(MONTH($C$1),$AF$4:$AG$15,2,0),1),4))</f>
        <v>#REF!</v>
      </c>
      <c r="K79" s="10"/>
      <c r="L79" s="16" t="e">
        <f ca="1">J79/H79</f>
        <v>#REF!</v>
      </c>
      <c r="M79" s="10"/>
      <c r="N79" s="16">
        <f>$F$1</f>
        <v>0.5</v>
      </c>
      <c r="O79" s="8"/>
      <c r="P79" s="46" t="e">
        <f ca="1">COUNTIFS(ATBCL,"East Team 3",INDIRECT(VLOOKUP(MONTH($C$1),$AF$5:$AG$16,2,0),1),3)+COUNTIFS(ATBCL,"East Team 3",INDIRECT(VLOOKUP(MONTH($C$1),$AF$5:$AG$16,2,0),1),4)</f>
        <v>#REF!</v>
      </c>
      <c r="Q79" s="10"/>
      <c r="R79" s="16" t="e">
        <f ca="1">P79/J79</f>
        <v>#REF!</v>
      </c>
      <c r="S79" s="10"/>
      <c r="T79" s="40" t="e">
        <f ca="1">P79/J79</f>
        <v>#REF!</v>
      </c>
      <c r="U79" s="8"/>
    </row>
    <row r="80" spans="1:21" ht="15.75" customHeight="1" x14ac:dyDescent="0.25">
      <c r="A80" s="512"/>
      <c r="B80" s="504" t="s">
        <v>11</v>
      </c>
      <c r="C80" s="504"/>
      <c r="D80" s="504"/>
      <c r="E80" s="504"/>
      <c r="F80" s="504"/>
      <c r="H80" s="66">
        <v>41</v>
      </c>
      <c r="J80" s="46" t="e">
        <f ca="1">IF(MONTH($C$1)&gt;MONTH(TODAY())+55000,0,COUNTIFS(ATBCL,"East Team 3",INDIRECT(VLOOKUP(MONTH($C$1),$AF$18:$AG$29,2,0),1),1)+COUNTIFS(ATBCL,"East Team 3",INDIRECT(VLOOKUP(MONTH($C$1),$AF$18:$AG$29,2,0),1),2)+COUNTIFS(ATBCL,"East Team 3",INDIRECT(VLOOKUP(MONTH($C$1),$AF$18:$AG$29,2,0),1),3)+COUNTIFS(ATBCL,"East Team 3",INDIRECT(VLOOKUP(MONTH($C$1),$AF$18:$AG$29,2,0),1),4))</f>
        <v>#REF!</v>
      </c>
      <c r="K80" s="10"/>
      <c r="L80" s="16" t="e">
        <f ca="1">J80/H80</f>
        <v>#REF!</v>
      </c>
      <c r="M80" s="10"/>
      <c r="N80" s="16">
        <f>$F$1</f>
        <v>0.5</v>
      </c>
      <c r="O80" s="8"/>
      <c r="P80" s="46" t="e">
        <f ca="1">COUNTIFS(ATBCL,"East Team 3",INDIRECT(VLOOKUP(MONTH($C$1),$AF$19:$AG$30,2,0),1),3)+COUNTIFS(ATBCL,"East Team 3",INDIRECT(VLOOKUP(MONTH($C$1),$AF$19:$AG$30,2,0),1),4)</f>
        <v>#REF!</v>
      </c>
      <c r="Q80" s="10"/>
      <c r="R80" s="16" t="e">
        <f ca="1">P80/J80</f>
        <v>#REF!</v>
      </c>
      <c r="S80" s="10"/>
      <c r="T80" s="40" t="e">
        <f ca="1">P80/J80</f>
        <v>#REF!</v>
      </c>
      <c r="U80" s="8"/>
    </row>
    <row r="81" spans="1:21" ht="15.75" customHeight="1" x14ac:dyDescent="0.25">
      <c r="A81" s="512"/>
      <c r="B81" s="504" t="s">
        <v>12</v>
      </c>
      <c r="C81" s="504"/>
      <c r="D81" s="504"/>
      <c r="E81" s="504"/>
      <c r="F81" s="504"/>
      <c r="H81" s="66">
        <v>41</v>
      </c>
      <c r="J81" s="46" t="e">
        <f ca="1">COUNTIFS(ATBLA,"East Team 3",INDIRECT(VLOOKUP(MONTH($C$1),$AF$32:$AG$43,2,0),1),1)+COUNTIFS(ATBLA,"East Team 3",INDIRECT(VLOOKUP(MONTH($C$1),$AF$32:$AG$43,2,0),1),2)+COUNTIFS(ATBLA,"East Team 3",INDIRECT(VLOOKUP(MONTH($C$1),$AF$32:$AG$43,2,0),1),3)+COUNTIFS(ATBLA,"East Team 3",INDIRECT(VLOOKUP(MONTH($C$1),$AF$32:$AG$43,2,0),1),4)</f>
        <v>#REF!</v>
      </c>
      <c r="K81" s="10"/>
      <c r="L81" s="16" t="e">
        <f ca="1">J81/H81</f>
        <v>#REF!</v>
      </c>
      <c r="M81" s="10"/>
      <c r="N81" s="16">
        <f>$F$1</f>
        <v>0.5</v>
      </c>
      <c r="O81" s="8"/>
      <c r="P81" s="46" t="e">
        <f ca="1">COUNTIFS(ATBLA,"East Team 3",INDIRECT(VLOOKUP(MONTH($C$1),$AF$33:$AG$44,2,0),1),3)+COUNTIFS(ATBLA,"East Team 3",INDIRECT(VLOOKUP(MONTH($C$1),$AF$33:$AG$44,2,0),1),4)</f>
        <v>#REF!</v>
      </c>
      <c r="Q81" s="10"/>
      <c r="R81" s="16" t="e">
        <f ca="1">P81/J81</f>
        <v>#REF!</v>
      </c>
      <c r="S81" s="10"/>
      <c r="T81" s="40" t="e">
        <f ca="1">P81/J81</f>
        <v>#REF!</v>
      </c>
      <c r="U81" s="8"/>
    </row>
    <row r="82" spans="1:21" ht="15.75" customHeight="1" x14ac:dyDescent="0.25">
      <c r="A82" s="513"/>
      <c r="B82" s="504" t="s">
        <v>13</v>
      </c>
      <c r="C82" s="504"/>
      <c r="D82" s="504"/>
      <c r="E82" s="504"/>
      <c r="F82" s="504"/>
      <c r="H82" s="144">
        <f>SUM(H79:H81)</f>
        <v>123</v>
      </c>
      <c r="J82" s="46" t="e">
        <f ca="1">J79+J80+J81</f>
        <v>#REF!</v>
      </c>
      <c r="K82" s="10"/>
      <c r="L82" s="16" t="e">
        <f ca="1">J82/H82</f>
        <v>#REF!</v>
      </c>
      <c r="M82" s="10"/>
      <c r="N82" s="16">
        <f>$F$1</f>
        <v>0.5</v>
      </c>
      <c r="O82" s="8"/>
      <c r="P82" s="46" t="e">
        <f ca="1">SUM(P79:P81)</f>
        <v>#REF!</v>
      </c>
      <c r="Q82" s="10"/>
      <c r="R82" s="16" t="e">
        <f ca="1">P82/J82</f>
        <v>#REF!</v>
      </c>
      <c r="S82" s="10"/>
      <c r="T82" s="40" t="e">
        <f ca="1">P82/J82</f>
        <v>#REF!</v>
      </c>
      <c r="U82" s="8"/>
    </row>
    <row r="83" spans="1:21" ht="15.75" customHeight="1" x14ac:dyDescent="0.25">
      <c r="A83" s="8"/>
      <c r="B83" s="8"/>
      <c r="C83" s="8"/>
      <c r="D83" s="8"/>
      <c r="E83" s="8"/>
      <c r="F83" s="8"/>
      <c r="G83" s="8"/>
      <c r="H83" s="47"/>
      <c r="I83" s="10"/>
      <c r="J83" s="47"/>
      <c r="K83" s="10"/>
      <c r="L83" s="11"/>
      <c r="M83" s="10"/>
      <c r="N83" s="11"/>
      <c r="O83" s="8"/>
      <c r="P83" s="48"/>
      <c r="Q83" s="8"/>
      <c r="R83" s="8"/>
      <c r="S83" s="8"/>
      <c r="T83" s="8"/>
      <c r="U83" s="8"/>
    </row>
    <row r="84" spans="1:21" ht="15.75" customHeight="1" x14ac:dyDescent="0.25">
      <c r="A84" s="510" t="s">
        <v>29</v>
      </c>
      <c r="B84" s="504" t="s">
        <v>10</v>
      </c>
      <c r="C84" s="504"/>
      <c r="D84" s="504"/>
      <c r="E84" s="504"/>
      <c r="F84" s="504"/>
      <c r="H84" s="66">
        <v>92</v>
      </c>
      <c r="J84" s="46" t="e">
        <f ca="1">IF(MONTH($C$1)&gt;MONTH(TODAY())+55000,"0",COUNTIFS(ATBCL,"East Team 4",INDIRECT(VLOOKUP(MONTH($C$1),$AF$4:$AG$15,2,0),1),1)+COUNTIFS(ATBCL,"East Team 4",INDIRECT(VLOOKUP(MONTH($C$1),$AF$4:$AG$15,2,0),1),2)+COUNTIFS(ATBCL,"East Team 4",INDIRECT(VLOOKUP(MONTH($C$1),$AF$4:$AG$15,2,0),1),3)+COUNTIFS(ATBCL,"East Team 4",INDIRECT(VLOOKUP(MONTH($C$1),$AF$4:$AG$15,2,0),1),4))</f>
        <v>#REF!</v>
      </c>
      <c r="K84" s="10"/>
      <c r="L84" s="16" t="e">
        <f ca="1">J84/H84</f>
        <v>#REF!</v>
      </c>
      <c r="M84" s="10"/>
      <c r="N84" s="16">
        <f>$F$1</f>
        <v>0.5</v>
      </c>
      <c r="O84" s="8"/>
      <c r="P84" s="46" t="e">
        <f ca="1">COUNTIFS(ATBCL,"East Team 4",INDIRECT(VLOOKUP(MONTH($C$1),$AF$5:$AG$16,2,0),1),3)+COUNTIFS(ATBCL,"East Team 4",INDIRECT(VLOOKUP(MONTH($C$1),$AF$5:$AG$16,2,0),1),4)</f>
        <v>#REF!</v>
      </c>
      <c r="Q84" s="10"/>
      <c r="R84" s="16" t="e">
        <f ca="1">P84/J84</f>
        <v>#REF!</v>
      </c>
      <c r="S84" s="10"/>
      <c r="T84" s="40" t="e">
        <f ca="1">P84/J84</f>
        <v>#REF!</v>
      </c>
      <c r="U84" s="8"/>
    </row>
    <row r="85" spans="1:21" ht="15.75" customHeight="1" x14ac:dyDescent="0.25">
      <c r="A85" s="512"/>
      <c r="B85" s="504" t="s">
        <v>11</v>
      </c>
      <c r="C85" s="504"/>
      <c r="D85" s="504"/>
      <c r="E85" s="504"/>
      <c r="F85" s="504"/>
      <c r="H85" s="66">
        <v>92</v>
      </c>
      <c r="J85" s="46" t="e">
        <f ca="1">IF(MONTH($C$1)&gt;MONTH(TODAY())+55000,0,COUNTIFS(ATBCL,"East Team 4",INDIRECT(VLOOKUP(MONTH($C$1),$AF$18:$AG$29,2,0),1),1)+COUNTIFS(ATBCL,"East Team 4",INDIRECT(VLOOKUP(MONTH($C$1),$AF$18:$AG$29,2,0),1),2)+COUNTIFS(ATBCL,"East Team 4",INDIRECT(VLOOKUP(MONTH($C$1),$AF$18:$AG$29,2,0),1),3)+COUNTIFS(ATBCL,"East Team 4",INDIRECT(VLOOKUP(MONTH($C$1),$AF$18:$AG$29,2,0),1),4))</f>
        <v>#REF!</v>
      </c>
      <c r="K85" s="10"/>
      <c r="L85" s="16" t="e">
        <f ca="1">J85/H85</f>
        <v>#REF!</v>
      </c>
      <c r="M85" s="10"/>
      <c r="N85" s="16">
        <f>$F$1</f>
        <v>0.5</v>
      </c>
      <c r="O85" s="8"/>
      <c r="P85" s="46" t="e">
        <f ca="1">COUNTIFS(ATBCL,"East Team 4",INDIRECT(VLOOKUP(MONTH($C$1),$AF$19:$AG$30,2,0),1),3)+COUNTIFS(ATBCL,"East Team 4",INDIRECT(VLOOKUP(MONTH($C$1),$AF$19:$AG$30,2,0),1),4)</f>
        <v>#REF!</v>
      </c>
      <c r="Q85" s="10"/>
      <c r="R85" s="16" t="e">
        <f ca="1">P85/J85</f>
        <v>#REF!</v>
      </c>
      <c r="S85" s="10"/>
      <c r="T85" s="40" t="e">
        <f ca="1">P85/J85</f>
        <v>#REF!</v>
      </c>
      <c r="U85" s="8"/>
    </row>
    <row r="86" spans="1:21" ht="15.75" customHeight="1" x14ac:dyDescent="0.25">
      <c r="A86" s="512"/>
      <c r="B86" s="504" t="s">
        <v>12</v>
      </c>
      <c r="C86" s="504"/>
      <c r="D86" s="504"/>
      <c r="E86" s="504"/>
      <c r="F86" s="504"/>
      <c r="H86" s="66">
        <v>92</v>
      </c>
      <c r="J86" s="46" t="e">
        <f ca="1">COUNTIFS(ATBLA,"East Team 4",INDIRECT(VLOOKUP(MONTH($C$1),$AF$32:$AG$43,2,0),1),1)+COUNTIFS(ATBLA,"East Team 4",INDIRECT(VLOOKUP(MONTH($C$1),$AF$32:$AG$43,2,0),1),2)+COUNTIFS(ATBLA,"East Team 4",INDIRECT(VLOOKUP(MONTH($C$1),$AF$32:$AG$43,2,0),1),3)+COUNTIFS(ATBLA,"East Team 4",INDIRECT(VLOOKUP(MONTH($C$1),$AF$32:$AG$43,2,0),1),4)</f>
        <v>#REF!</v>
      </c>
      <c r="K86" s="10"/>
      <c r="L86" s="16" t="e">
        <f ca="1">J86/H86</f>
        <v>#REF!</v>
      </c>
      <c r="M86" s="10"/>
      <c r="N86" s="16">
        <f>$F$1</f>
        <v>0.5</v>
      </c>
      <c r="O86" s="8"/>
      <c r="P86" s="46" t="e">
        <f ca="1">COUNTIFS(ATBLA,"East Team 4",INDIRECT(VLOOKUP(MONTH($C$1),$AF$33:$AG$44,2,0),1),3)+COUNTIFS(ATBLA,"East Team 4",INDIRECT(VLOOKUP(MONTH($C$1),$AF$33:$AG$44,2,0),1),4)</f>
        <v>#REF!</v>
      </c>
      <c r="Q86" s="10"/>
      <c r="R86" s="16" t="e">
        <f ca="1">P86/J86</f>
        <v>#REF!</v>
      </c>
      <c r="S86" s="10"/>
      <c r="T86" s="40" t="e">
        <f ca="1">P86/J86</f>
        <v>#REF!</v>
      </c>
      <c r="U86" s="8"/>
    </row>
    <row r="87" spans="1:21" ht="15.75" customHeight="1" x14ac:dyDescent="0.25">
      <c r="A87" s="513"/>
      <c r="B87" s="504" t="s">
        <v>13</v>
      </c>
      <c r="C87" s="504"/>
      <c r="D87" s="504"/>
      <c r="E87" s="504"/>
      <c r="F87" s="504"/>
      <c r="H87" s="144">
        <f>SUM(H84:H86)</f>
        <v>276</v>
      </c>
      <c r="J87" s="46" t="e">
        <f ca="1">J84+J85+J86</f>
        <v>#REF!</v>
      </c>
      <c r="K87" s="10"/>
      <c r="L87" s="16" t="e">
        <f ca="1">J87/H87</f>
        <v>#REF!</v>
      </c>
      <c r="M87" s="10"/>
      <c r="N87" s="16">
        <f>$F$1</f>
        <v>0.5</v>
      </c>
      <c r="O87" s="8"/>
      <c r="P87" s="46" t="e">
        <f ca="1">SUM(P84:P86)</f>
        <v>#REF!</v>
      </c>
      <c r="Q87" s="10"/>
      <c r="R87" s="16" t="e">
        <f ca="1">P87/J87</f>
        <v>#REF!</v>
      </c>
      <c r="S87" s="10"/>
      <c r="T87" s="40" t="e">
        <f ca="1">P87/J87</f>
        <v>#REF!</v>
      </c>
      <c r="U87" s="8"/>
    </row>
    <row r="88" spans="1:21" ht="15.75" customHeight="1" x14ac:dyDescent="0.25">
      <c r="U88" s="8"/>
    </row>
    <row r="89" spans="1:21" ht="15.75" customHeight="1" x14ac:dyDescent="0.25">
      <c r="A89" s="514" t="s">
        <v>30</v>
      </c>
      <c r="B89" s="504" t="s">
        <v>10</v>
      </c>
      <c r="C89" s="504"/>
      <c r="D89" s="504"/>
      <c r="E89" s="504"/>
      <c r="F89" s="504"/>
      <c r="H89" s="66">
        <v>40</v>
      </c>
      <c r="J89" s="46" t="e">
        <f ca="1">IF(MONTH($C$1)&gt;MONTH(TODAY())+55000,"0",COUNTIFS(ATBCL,"North Team 1",INDIRECT(VLOOKUP(MONTH($C$1),$AF$4:$AG$15,2,0),1),1)+COUNTIFS(ATBCL,"North Team 1",INDIRECT(VLOOKUP(MONTH($C$1),$AF$4:$AG$15,2,0),1),2)+COUNTIFS(ATBCL,"North Team 1",INDIRECT(VLOOKUP(MONTH($C$1),$AF$4:$AG$15,2,0),1),3)+COUNTIFS(ATBCL,"North Team 1",INDIRECT(VLOOKUP(MONTH($C$1),$AF$4:$AG$15,2,0),1),4))</f>
        <v>#REF!</v>
      </c>
      <c r="K89" s="10"/>
      <c r="L89" s="16" t="e">
        <f ca="1">J89/H89</f>
        <v>#REF!</v>
      </c>
      <c r="M89" s="10"/>
      <c r="N89" s="16">
        <f>$F$1</f>
        <v>0.5</v>
      </c>
      <c r="O89" s="8"/>
      <c r="P89" s="46" t="e">
        <f ca="1">COUNTIFS(ATBCL,"North Team 1",INDIRECT(VLOOKUP(MONTH($C$1),$AF$5:$AG$16,2,0),1),3)+COUNTIFS(ATBCL,"North Team 1",INDIRECT(VLOOKUP(MONTH($C$1),$AF$5:$AG$16,2,0),1),4)</f>
        <v>#REF!</v>
      </c>
      <c r="Q89" s="10"/>
      <c r="R89" s="16" t="e">
        <f ca="1">P89/J89</f>
        <v>#REF!</v>
      </c>
      <c r="S89" s="10"/>
      <c r="T89" s="40" t="e">
        <f ca="1">P89/J89</f>
        <v>#REF!</v>
      </c>
      <c r="U89" s="8"/>
    </row>
    <row r="90" spans="1:21" ht="15.75" customHeight="1" x14ac:dyDescent="0.25">
      <c r="A90" s="515"/>
      <c r="B90" s="504" t="s">
        <v>11</v>
      </c>
      <c r="C90" s="504"/>
      <c r="D90" s="504"/>
      <c r="E90" s="504"/>
      <c r="F90" s="504"/>
      <c r="H90" s="66">
        <v>31</v>
      </c>
      <c r="J90" s="46" t="e">
        <f ca="1">IF(MONTH($C$1)&gt;MONTH(TODAY())+55000,0,COUNTIFS(ATBCL,"North Team 1",INDIRECT(VLOOKUP(MONTH($C$1),$AF$18:$AG$29,2,0),1),1)+COUNTIFS(ATBCL,"North Team 1",INDIRECT(VLOOKUP(MONTH($C$1),$AF$18:$AG$29,2,0),1),2)+COUNTIFS(ATBCL,"North Team 1",INDIRECT(VLOOKUP(MONTH($C$1),$AF$18:$AG$29,2,0),1),3)+COUNTIFS(ATBCL,"North Team 1",INDIRECT(VLOOKUP(MONTH($C$1),$AF$18:$AG$29,2,0),1),4))</f>
        <v>#REF!</v>
      </c>
      <c r="K90" s="10"/>
      <c r="L90" s="16" t="e">
        <f ca="1">J90/H90</f>
        <v>#REF!</v>
      </c>
      <c r="M90" s="10"/>
      <c r="N90" s="16">
        <f>$F$1</f>
        <v>0.5</v>
      </c>
      <c r="O90" s="8"/>
      <c r="P90" s="46" t="e">
        <f ca="1">COUNTIFS(ATBCL,"North Team 1",INDIRECT(VLOOKUP(MONTH($C$1),$AF$19:$AG$30,2,0),1),3)+COUNTIFS(ATBCL,"North Team 1",INDIRECT(VLOOKUP(MONTH($C$1),$AF$19:$AG$30,2,0),1),4)</f>
        <v>#REF!</v>
      </c>
      <c r="Q90" s="10"/>
      <c r="R90" s="16" t="e">
        <f ca="1">P90/J90</f>
        <v>#REF!</v>
      </c>
      <c r="S90" s="10"/>
      <c r="T90" s="40" t="e">
        <f ca="1">P90/J90</f>
        <v>#REF!</v>
      </c>
      <c r="U90" s="8"/>
    </row>
    <row r="91" spans="1:21" ht="15.75" customHeight="1" x14ac:dyDescent="0.25">
      <c r="A91" s="515"/>
      <c r="B91" s="504" t="s">
        <v>12</v>
      </c>
      <c r="C91" s="504"/>
      <c r="D91" s="504"/>
      <c r="E91" s="504"/>
      <c r="F91" s="504"/>
      <c r="H91" s="66">
        <v>29</v>
      </c>
      <c r="J91" s="46" t="e">
        <f ca="1">COUNTIFS(ATBLA,"North Team 1",INDIRECT(VLOOKUP(MONTH($C$1),$AF$32:$AG$43,2,0),1),1)+COUNTIFS(ATBLA,"North Team 1",INDIRECT(VLOOKUP(MONTH($C$1),$AF$32:$AG$43,2,0),1),2)+COUNTIFS(ATBLA,"North Team 1",INDIRECT(VLOOKUP(MONTH($C$1),$AF$32:$AG$43,2,0),1),3)+COUNTIFS(ATBLA,"North Team 1",INDIRECT(VLOOKUP(MONTH($C$1),$AF$32:$AG$43,2,0),1),4)</f>
        <v>#REF!</v>
      </c>
      <c r="K91" s="10"/>
      <c r="L91" s="16" t="e">
        <f ca="1">J91/H91</f>
        <v>#REF!</v>
      </c>
      <c r="M91" s="10"/>
      <c r="N91" s="16">
        <f>$F$1</f>
        <v>0.5</v>
      </c>
      <c r="O91" s="8"/>
      <c r="P91" s="46" t="e">
        <f ca="1">COUNTIFS(ATBLA,"North Team 1",INDIRECT(VLOOKUP(MONTH($C$1),$AF$33:$AG$44,2,0),1),3)+COUNTIFS(ATBLA,"North Team 1",INDIRECT(VLOOKUP(MONTH($C$1),$AF$33:$AG$44,2,0),1),4)</f>
        <v>#REF!</v>
      </c>
      <c r="Q91" s="10"/>
      <c r="R91" s="16" t="e">
        <f ca="1">P91/J91</f>
        <v>#REF!</v>
      </c>
      <c r="S91" s="10"/>
      <c r="T91" s="40" t="e">
        <f ca="1">P91/J91</f>
        <v>#REF!</v>
      </c>
      <c r="U91" s="8"/>
    </row>
    <row r="92" spans="1:21" ht="15.75" customHeight="1" x14ac:dyDescent="0.25">
      <c r="A92" s="516"/>
      <c r="B92" s="504" t="s">
        <v>13</v>
      </c>
      <c r="C92" s="504"/>
      <c r="D92" s="504"/>
      <c r="E92" s="504"/>
      <c r="F92" s="504"/>
      <c r="H92" s="144">
        <f>SUM(H89:H91)</f>
        <v>100</v>
      </c>
      <c r="J92" s="46" t="e">
        <f ca="1">J89+J90+J91</f>
        <v>#REF!</v>
      </c>
      <c r="K92" s="10"/>
      <c r="L92" s="16" t="e">
        <f ca="1">J92/H92</f>
        <v>#REF!</v>
      </c>
      <c r="M92" s="10"/>
      <c r="N92" s="16">
        <f>$F$1</f>
        <v>0.5</v>
      </c>
      <c r="O92" s="8"/>
      <c r="P92" s="46" t="e">
        <f ca="1">SUM(P89:P91)</f>
        <v>#REF!</v>
      </c>
      <c r="Q92" s="10"/>
      <c r="R92" s="16" t="e">
        <f ca="1">P92/J92</f>
        <v>#REF!</v>
      </c>
      <c r="S92" s="10"/>
      <c r="T92" s="40" t="e">
        <f ca="1">P92/J92</f>
        <v>#REF!</v>
      </c>
      <c r="U92" s="8"/>
    </row>
    <row r="93" spans="1:21" ht="15.75" customHeight="1" x14ac:dyDescent="0.25">
      <c r="U93" s="8"/>
    </row>
    <row r="94" spans="1:21" ht="15.75" customHeight="1" x14ac:dyDescent="0.25">
      <c r="A94" s="514" t="s">
        <v>31</v>
      </c>
      <c r="B94" s="504" t="s">
        <v>10</v>
      </c>
      <c r="C94" s="504"/>
      <c r="D94" s="504"/>
      <c r="E94" s="504"/>
      <c r="F94" s="504"/>
      <c r="H94" s="66">
        <v>56</v>
      </c>
      <c r="J94" s="46" t="e">
        <f ca="1">IF(MONTH($C$1)&gt;MONTH(TODAY())+55000,"0",COUNTIFS(ATBCL,"North Team 2",INDIRECT(VLOOKUP(MONTH($C$1),$AF$4:$AG$15,2,0),1),1)+COUNTIFS(ATBCL,"North Team 2",INDIRECT(VLOOKUP(MONTH($C$1),$AF$4:$AG$15,2,0),1),2)+COUNTIFS(ATBCL,"North Team 2",INDIRECT(VLOOKUP(MONTH($C$1),$AF$4:$AG$15,2,0),1),3)+COUNTIFS(ATBCL,"North Team 2",INDIRECT(VLOOKUP(MONTH($C$1),$AF$4:$AG$15,2,0),1),4))</f>
        <v>#REF!</v>
      </c>
      <c r="K94" s="10"/>
      <c r="L94" s="16" t="e">
        <f ca="1">J94/H94</f>
        <v>#REF!</v>
      </c>
      <c r="M94" s="10"/>
      <c r="N94" s="16">
        <f>$F$1</f>
        <v>0.5</v>
      </c>
      <c r="O94" s="8"/>
      <c r="P94" s="46" t="e">
        <f ca="1">COUNTIFS(ATBCL,"North Team 2",INDIRECT(VLOOKUP(MONTH($C$1),$AF$5:$AG$16,2,0),1),3)+COUNTIFS(ATBCL,"North Team 2",INDIRECT(VLOOKUP(MONTH($C$1),$AF$5:$AG$16,2,0),1),4)</f>
        <v>#REF!</v>
      </c>
      <c r="Q94" s="10"/>
      <c r="R94" s="16" t="e">
        <f ca="1">P94/J94</f>
        <v>#REF!</v>
      </c>
      <c r="S94" s="10"/>
      <c r="T94" s="40" t="e">
        <f ca="1">P94/J94</f>
        <v>#REF!</v>
      </c>
      <c r="U94" s="8"/>
    </row>
    <row r="95" spans="1:21" ht="15.75" customHeight="1" x14ac:dyDescent="0.25">
      <c r="A95" s="515"/>
      <c r="B95" s="504" t="s">
        <v>11</v>
      </c>
      <c r="C95" s="504"/>
      <c r="D95" s="504"/>
      <c r="E95" s="504"/>
      <c r="F95" s="504"/>
      <c r="H95" s="66">
        <v>55</v>
      </c>
      <c r="J95" s="46" t="e">
        <f ca="1">IF(MONTH($C$1)&gt;MONTH(TODAY())+55000,0,COUNTIFS(ATBCL,"North Team 2",INDIRECT(VLOOKUP(MONTH($C$1),$AF$18:$AG$29,2,0),1),1)+COUNTIFS(ATBCL,"North Team 2",INDIRECT(VLOOKUP(MONTH($C$1),$AF$18:$AG$29,2,0),1),2)+COUNTIFS(ATBCL,"North Team 2",INDIRECT(VLOOKUP(MONTH($C$1),$AF$18:$AG$29,2,0),1),3)+COUNTIFS(ATBCL,"North Team 2",INDIRECT(VLOOKUP(MONTH($C$1),$AF$18:$AG$29,2,0),1),4))</f>
        <v>#REF!</v>
      </c>
      <c r="K95" s="10"/>
      <c r="L95" s="16" t="e">
        <f ca="1">J95/H95</f>
        <v>#REF!</v>
      </c>
      <c r="M95" s="10"/>
      <c r="N95" s="16">
        <f>$F$1</f>
        <v>0.5</v>
      </c>
      <c r="O95" s="8"/>
      <c r="P95" s="46" t="e">
        <f ca="1">COUNTIFS(ATBCL,"North Team 2",INDIRECT(VLOOKUP(MONTH($C$1),$AF$19:$AG$30,2,0),1),3)+COUNTIFS(ATBCL,"North Team 2",INDIRECT(VLOOKUP(MONTH($C$1),$AF$19:$AG$30,2,0),1),4)</f>
        <v>#REF!</v>
      </c>
      <c r="Q95" s="10"/>
      <c r="R95" s="16" t="e">
        <f ca="1">P95/J95</f>
        <v>#REF!</v>
      </c>
      <c r="S95" s="10"/>
      <c r="T95" s="40" t="e">
        <f ca="1">P95/J95</f>
        <v>#REF!</v>
      </c>
      <c r="U95" s="8"/>
    </row>
    <row r="96" spans="1:21" ht="15.75" customHeight="1" x14ac:dyDescent="0.25">
      <c r="A96" s="515"/>
      <c r="B96" s="504" t="s">
        <v>12</v>
      </c>
      <c r="C96" s="504"/>
      <c r="D96" s="504"/>
      <c r="E96" s="504"/>
      <c r="F96" s="504"/>
      <c r="H96" s="66">
        <v>55</v>
      </c>
      <c r="J96" s="46" t="e">
        <f ca="1">COUNTIFS(ATBLA,"North Team 2",INDIRECT(VLOOKUP(MONTH($C$1),$AF$32:$AG$43,2,0),1),1)+COUNTIFS(ATBLA,"North Team 2",INDIRECT(VLOOKUP(MONTH($C$1),$AF$32:$AG$43,2,0),1),2)+COUNTIFS(ATBLA,"North Team 2",INDIRECT(VLOOKUP(MONTH($C$1),$AF$32:$AG$43,2,0),1),3)+COUNTIFS(ATBLA,"North Team 2",INDIRECT(VLOOKUP(MONTH($C$1),$AF$32:$AG$43,2,0),1),4)</f>
        <v>#REF!</v>
      </c>
      <c r="K96" s="10"/>
      <c r="L96" s="16" t="e">
        <f ca="1">J96/H96</f>
        <v>#REF!</v>
      </c>
      <c r="M96" s="10"/>
      <c r="N96" s="16">
        <f>$F$1</f>
        <v>0.5</v>
      </c>
      <c r="O96" s="8"/>
      <c r="P96" s="46" t="e">
        <f ca="1">COUNTIFS(ATBLA,"North Team 2",INDIRECT(VLOOKUP(MONTH($C$1),$AF$33:$AG$44,2,0),1),3)+COUNTIFS(ATBLA,"North Team 2",INDIRECT(VLOOKUP(MONTH($C$1),$AF$33:$AG$44,2,0),1),4)</f>
        <v>#REF!</v>
      </c>
      <c r="Q96" s="10"/>
      <c r="R96" s="16" t="e">
        <f ca="1">P96/J96</f>
        <v>#REF!</v>
      </c>
      <c r="S96" s="10"/>
      <c r="T96" s="40" t="e">
        <f ca="1">P96/J96</f>
        <v>#REF!</v>
      </c>
      <c r="U96" s="8"/>
    </row>
    <row r="97" spans="1:21" ht="15.75" customHeight="1" x14ac:dyDescent="0.25">
      <c r="A97" s="516"/>
      <c r="B97" s="504" t="s">
        <v>13</v>
      </c>
      <c r="C97" s="504"/>
      <c r="D97" s="504"/>
      <c r="E97" s="504"/>
      <c r="F97" s="504"/>
      <c r="H97" s="144">
        <f>SUM(H94:H96)</f>
        <v>166</v>
      </c>
      <c r="J97" s="46" t="e">
        <f ca="1">J94+J95+J96</f>
        <v>#REF!</v>
      </c>
      <c r="K97" s="10"/>
      <c r="L97" s="16" t="e">
        <f ca="1">J97/H97</f>
        <v>#REF!</v>
      </c>
      <c r="M97" s="10"/>
      <c r="N97" s="16">
        <f>$F$1</f>
        <v>0.5</v>
      </c>
      <c r="O97" s="8"/>
      <c r="P97" s="46" t="e">
        <f ca="1">SUM(P94:P96)</f>
        <v>#REF!</v>
      </c>
      <c r="Q97" s="10"/>
      <c r="R97" s="16" t="e">
        <f ca="1">P97/J97</f>
        <v>#REF!</v>
      </c>
      <c r="S97" s="10"/>
      <c r="T97" s="40" t="e">
        <f ca="1">P97/J97</f>
        <v>#REF!</v>
      </c>
      <c r="U97" s="8"/>
    </row>
    <row r="98" spans="1:21" ht="15.75" customHeight="1" x14ac:dyDescent="0.25">
      <c r="U98" s="8"/>
    </row>
    <row r="99" spans="1:21" ht="15.75" customHeight="1" x14ac:dyDescent="0.25">
      <c r="A99" s="514" t="s">
        <v>32</v>
      </c>
      <c r="B99" s="504" t="s">
        <v>10</v>
      </c>
      <c r="C99" s="504"/>
      <c r="D99" s="504"/>
      <c r="E99" s="504"/>
      <c r="F99" s="504"/>
      <c r="H99" s="66">
        <v>20</v>
      </c>
      <c r="J99" s="46" t="e">
        <f ca="1">IF(MONTH($C$1)&gt;MONTH(TODAY())+55000,"0",COUNTIFS(ATBCL,"North Team 3",INDIRECT(VLOOKUP(MONTH($C$1),$AF$4:$AG$15,2,0),1),1)+COUNTIFS(ATBCL,"North Team 3",INDIRECT(VLOOKUP(MONTH($C$1),$AF$4:$AG$15,2,0),1),2)+COUNTIFS(ATBCL,"North Team 3",INDIRECT(VLOOKUP(MONTH($C$1),$AF$4:$AG$15,2,0),1),3)+COUNTIFS(ATBCL,"North Team 3",INDIRECT(VLOOKUP(MONTH($C$1),$AF$4:$AG$15,2,0),1),4))</f>
        <v>#REF!</v>
      </c>
      <c r="K99" s="10"/>
      <c r="L99" s="16" t="e">
        <f ca="1">J99/H99</f>
        <v>#REF!</v>
      </c>
      <c r="M99" s="10"/>
      <c r="N99" s="16">
        <f>$F$1</f>
        <v>0.5</v>
      </c>
      <c r="O99" s="8"/>
      <c r="P99" s="46" t="e">
        <f ca="1">COUNTIFS(ATBCL,"North Team 3",INDIRECT(VLOOKUP(MONTH($C$1),$AF$5:$AG$16,2,0),1),3)+COUNTIFS(ATBCL,"North Team 3",INDIRECT(VLOOKUP(MONTH($C$1),$AF$5:$AG$16,2,0),1),4)</f>
        <v>#REF!</v>
      </c>
      <c r="Q99" s="10"/>
      <c r="R99" s="16" t="e">
        <f ca="1">P99/J99</f>
        <v>#REF!</v>
      </c>
      <c r="S99" s="10"/>
      <c r="T99" s="40" t="e">
        <f ca="1">P99/J99</f>
        <v>#REF!</v>
      </c>
      <c r="U99" s="8"/>
    </row>
    <row r="100" spans="1:21" ht="15.75" customHeight="1" x14ac:dyDescent="0.25">
      <c r="A100" s="515"/>
      <c r="B100" s="504" t="s">
        <v>11</v>
      </c>
      <c r="C100" s="504"/>
      <c r="D100" s="504"/>
      <c r="E100" s="504"/>
      <c r="F100" s="504"/>
      <c r="H100" s="66">
        <v>21</v>
      </c>
      <c r="J100" s="46" t="e">
        <f ca="1">IF(MONTH($C$1)&gt;MONTH(TODAY())+55000,0,COUNTIFS(ATBCL,"North Team 3",INDIRECT(VLOOKUP(MONTH($C$1),$AF$18:$AG$29,2,0),1),1)+COUNTIFS(ATBCL,"North Team 3",INDIRECT(VLOOKUP(MONTH($C$1),$AF$18:$AG$29,2,0),1),2)+COUNTIFS(ATBCL,"North Team 3",INDIRECT(VLOOKUP(MONTH($C$1),$AF$18:$AG$29,2,0),1),3)+COUNTIFS(ATBCL,"North Team 3",INDIRECT(VLOOKUP(MONTH($C$1),$AF$18:$AG$29,2,0),1),4))</f>
        <v>#REF!</v>
      </c>
      <c r="K100" s="10"/>
      <c r="L100" s="16" t="e">
        <f ca="1">J100/H100</f>
        <v>#REF!</v>
      </c>
      <c r="M100" s="10"/>
      <c r="N100" s="16">
        <f>$F$1</f>
        <v>0.5</v>
      </c>
      <c r="O100" s="8"/>
      <c r="P100" s="46" t="e">
        <f ca="1">COUNTIFS(ATBCL,"North Team 3",INDIRECT(VLOOKUP(MONTH($C$1),$AF$19:$AG$30,2,0),1),3)+COUNTIFS(ATBCL,"North Team 3",INDIRECT(VLOOKUP(MONTH($C$1),$AF$19:$AG$30,2,0),1),4)</f>
        <v>#REF!</v>
      </c>
      <c r="Q100" s="10"/>
      <c r="R100" s="16" t="e">
        <f ca="1">P100/J100</f>
        <v>#REF!</v>
      </c>
      <c r="S100" s="10"/>
      <c r="T100" s="40" t="e">
        <f ca="1">P100/J100</f>
        <v>#REF!</v>
      </c>
      <c r="U100" s="8"/>
    </row>
    <row r="101" spans="1:21" ht="15.75" customHeight="1" x14ac:dyDescent="0.25">
      <c r="A101" s="515"/>
      <c r="B101" s="504" t="s">
        <v>12</v>
      </c>
      <c r="C101" s="504"/>
      <c r="D101" s="504"/>
      <c r="E101" s="504"/>
      <c r="F101" s="504"/>
      <c r="H101" s="66">
        <v>20</v>
      </c>
      <c r="J101" s="46" t="e">
        <f ca="1">COUNTIFS(ATBLA,"North Team 3",INDIRECT(VLOOKUP(MONTH($C$1),$AF$32:$AG$43,2,0),1),1)+COUNTIFS(ATBLA,"North Team 3",INDIRECT(VLOOKUP(MONTH($C$1),$AF$32:$AG$43,2,0),1),2)+COUNTIFS(ATBLA,"North Team 3",INDIRECT(VLOOKUP(MONTH($C$1),$AF$32:$AG$43,2,0),1),3)+COUNTIFS(ATBLA,"North Team 3",INDIRECT(VLOOKUP(MONTH($C$1),$AF$32:$AG$43,2,0),1),4)</f>
        <v>#REF!</v>
      </c>
      <c r="K101" s="10"/>
      <c r="L101" s="16" t="e">
        <f ca="1">J101/H101</f>
        <v>#REF!</v>
      </c>
      <c r="M101" s="10"/>
      <c r="N101" s="16">
        <f>$F$1</f>
        <v>0.5</v>
      </c>
      <c r="O101" s="8"/>
      <c r="P101" s="46" t="e">
        <f ca="1">COUNTIFS(ATBLA,"North Team 3",INDIRECT(VLOOKUP(MONTH($C$1),$AF$33:$AG$44,2,0),1),3)+COUNTIFS(ATBLA,"North Team 3",INDIRECT(VLOOKUP(MONTH($C$1),$AF$33:$AG$44,2,0),1),4)</f>
        <v>#REF!</v>
      </c>
      <c r="Q101" s="10"/>
      <c r="R101" s="16" t="e">
        <f ca="1">P101/J101</f>
        <v>#REF!</v>
      </c>
      <c r="S101" s="10"/>
      <c r="T101" s="40" t="e">
        <f ca="1">P101/J101</f>
        <v>#REF!</v>
      </c>
      <c r="U101" s="8"/>
    </row>
    <row r="102" spans="1:21" ht="15.75" customHeight="1" x14ac:dyDescent="0.25">
      <c r="A102" s="516"/>
      <c r="B102" s="504" t="s">
        <v>13</v>
      </c>
      <c r="C102" s="504"/>
      <c r="D102" s="504"/>
      <c r="E102" s="504"/>
      <c r="F102" s="504"/>
      <c r="H102" s="144">
        <f>SUM(H99:H101)</f>
        <v>61</v>
      </c>
      <c r="J102" s="46" t="e">
        <f ca="1">J99+J100+J101</f>
        <v>#REF!</v>
      </c>
      <c r="K102" s="10"/>
      <c r="L102" s="16" t="e">
        <f ca="1">J102/H102</f>
        <v>#REF!</v>
      </c>
      <c r="M102" s="10"/>
      <c r="N102" s="16">
        <f>$F$1</f>
        <v>0.5</v>
      </c>
      <c r="O102" s="8"/>
      <c r="P102" s="46" t="e">
        <f ca="1">SUM(P99:P101)</f>
        <v>#REF!</v>
      </c>
      <c r="Q102" s="10"/>
      <c r="R102" s="16" t="e">
        <f ca="1">P102/J102</f>
        <v>#REF!</v>
      </c>
      <c r="S102" s="10"/>
      <c r="T102" s="40" t="e">
        <f ca="1">P102/J102</f>
        <v>#REF!</v>
      </c>
      <c r="U102" s="8"/>
    </row>
    <row r="103" spans="1:21" ht="15.75" customHeight="1" x14ac:dyDescent="0.25">
      <c r="U103" s="8"/>
    </row>
    <row r="104" spans="1:21" ht="15.75" customHeight="1" x14ac:dyDescent="0.25">
      <c r="A104" s="514" t="s">
        <v>33</v>
      </c>
      <c r="B104" s="504" t="s">
        <v>10</v>
      </c>
      <c r="C104" s="504"/>
      <c r="D104" s="504"/>
      <c r="E104" s="504"/>
      <c r="F104" s="504"/>
      <c r="H104" s="66">
        <v>29</v>
      </c>
      <c r="J104" s="46" t="e">
        <f ca="1">IF(MONTH($C$1)&gt;MONTH(TODAY())+55000,"0",COUNTIFS(ATBCL,"North Team 4",INDIRECT(VLOOKUP(MONTH($C$1),$AF$4:$AG$15,2,0),1),1)+COUNTIFS(ATBCL,"North Team 4",INDIRECT(VLOOKUP(MONTH($C$1),$AF$4:$AG$15,2,0),1),2)+COUNTIFS(ATBCL,"North Team 4",INDIRECT(VLOOKUP(MONTH($C$1),$AF$4:$AG$15,2,0),1),3)+COUNTIFS(ATBCL,"North Team 4",INDIRECT(VLOOKUP(MONTH($C$1),$AF$4:$AG$15,2,0),1),4))</f>
        <v>#REF!</v>
      </c>
      <c r="K104" s="10"/>
      <c r="L104" s="16" t="e">
        <f ca="1">J104/H104</f>
        <v>#REF!</v>
      </c>
      <c r="M104" s="10"/>
      <c r="N104" s="16">
        <f>$F$1</f>
        <v>0.5</v>
      </c>
      <c r="O104" s="8"/>
      <c r="P104" s="46" t="e">
        <f ca="1">COUNTIFS(ATBCL,"North Team 4",INDIRECT(VLOOKUP(MONTH($C$1),$AF$5:$AG$16,2,0),1),3)+COUNTIFS(ATBCL,"North Team 4",INDIRECT(VLOOKUP(MONTH($C$1),$AF$5:$AG$16,2,0),1),4)</f>
        <v>#REF!</v>
      </c>
      <c r="Q104" s="10"/>
      <c r="R104" s="16" t="e">
        <f ca="1">P104/J104</f>
        <v>#REF!</v>
      </c>
      <c r="S104" s="10"/>
      <c r="T104" s="40" t="e">
        <f ca="1">P104/J104</f>
        <v>#REF!</v>
      </c>
      <c r="U104" s="8"/>
    </row>
    <row r="105" spans="1:21" ht="15.75" customHeight="1" x14ac:dyDescent="0.25">
      <c r="A105" s="515"/>
      <c r="B105" s="504" t="s">
        <v>11</v>
      </c>
      <c r="C105" s="504"/>
      <c r="D105" s="504"/>
      <c r="E105" s="504"/>
      <c r="F105" s="504"/>
      <c r="H105" s="66">
        <v>29</v>
      </c>
      <c r="J105" s="46" t="e">
        <f ca="1">IF(MONTH($C$1)&gt;MONTH(TODAY())+55000,0,COUNTIFS(ATBCL,"North Team 4",INDIRECT(VLOOKUP(MONTH($C$1),$AF$18:$AG$29,2,0),1),1)+COUNTIFS(ATBCL,"North Team 4",INDIRECT(VLOOKUP(MONTH($C$1),$AF$18:$AG$29,2,0),1),2)+COUNTIFS(ATBCL,"North Team 4",INDIRECT(VLOOKUP(MONTH($C$1),$AF$18:$AG$29,2,0),1),3)+COUNTIFS(ATBCL,"North Team 4",INDIRECT(VLOOKUP(MONTH($C$1),$AF$18:$AG$29,2,0),1),4))</f>
        <v>#REF!</v>
      </c>
      <c r="K105" s="10"/>
      <c r="L105" s="16" t="e">
        <f ca="1">J105/H105</f>
        <v>#REF!</v>
      </c>
      <c r="M105" s="10"/>
      <c r="N105" s="16">
        <f>$F$1</f>
        <v>0.5</v>
      </c>
      <c r="O105" s="8"/>
      <c r="P105" s="46" t="e">
        <f ca="1">COUNTIFS(ATBCL,"North Team 4",INDIRECT(VLOOKUP(MONTH($C$1),$AF$19:$AG$30,2,0),1),3)+COUNTIFS(ATBCL,"North Team 4",INDIRECT(VLOOKUP(MONTH($C$1),$AF$19:$AG$30,2,0),1),4)</f>
        <v>#REF!</v>
      </c>
      <c r="Q105" s="10"/>
      <c r="R105" s="16" t="e">
        <f ca="1">P105/J105</f>
        <v>#REF!</v>
      </c>
      <c r="S105" s="10"/>
      <c r="T105" s="40" t="e">
        <f ca="1">P105/J105</f>
        <v>#REF!</v>
      </c>
      <c r="U105" s="8"/>
    </row>
    <row r="106" spans="1:21" ht="15.75" customHeight="1" x14ac:dyDescent="0.25">
      <c r="A106" s="515"/>
      <c r="B106" s="504" t="s">
        <v>12</v>
      </c>
      <c r="C106" s="504"/>
      <c r="D106" s="504"/>
      <c r="E106" s="504"/>
      <c r="F106" s="504"/>
      <c r="H106" s="66">
        <v>29</v>
      </c>
      <c r="J106" s="46" t="e">
        <f ca="1">COUNTIFS(ATBLA,"North Team 4",INDIRECT(VLOOKUP(MONTH($C$1),$AF$32:$AG$43,2,0),1),1)+COUNTIFS(ATBLA,"North Team 4",INDIRECT(VLOOKUP(MONTH($C$1),$AF$32:$AG$43,2,0),1),2)+COUNTIFS(ATBLA,"North Team 4",INDIRECT(VLOOKUP(MONTH($C$1),$AF$32:$AG$43,2,0),1),3)+COUNTIFS(ATBLA,"North Team 4",INDIRECT(VLOOKUP(MONTH($C$1),$AF$32:$AG$43,2,0),1),4)</f>
        <v>#REF!</v>
      </c>
      <c r="K106" s="10"/>
      <c r="L106" s="16" t="e">
        <f ca="1">J106/H106</f>
        <v>#REF!</v>
      </c>
      <c r="M106" s="10"/>
      <c r="N106" s="16">
        <f>$F$1</f>
        <v>0.5</v>
      </c>
      <c r="O106" s="8"/>
      <c r="P106" s="46" t="e">
        <f ca="1">COUNTIFS(ATBLA,"North Team 4",INDIRECT(VLOOKUP(MONTH($C$1),$AF$33:$AG$44,2,0),1),3)+COUNTIFS(ATBLA,"North Team 4",INDIRECT(VLOOKUP(MONTH($C$1),$AF$33:$AG$44,2,0),1),4)</f>
        <v>#REF!</v>
      </c>
      <c r="Q106" s="10"/>
      <c r="R106" s="16" t="e">
        <f ca="1">P106/J106</f>
        <v>#REF!</v>
      </c>
      <c r="S106" s="10"/>
      <c r="T106" s="40" t="e">
        <f ca="1">P106/J106</f>
        <v>#REF!</v>
      </c>
      <c r="U106" s="8"/>
    </row>
    <row r="107" spans="1:21" ht="15.75" customHeight="1" x14ac:dyDescent="0.25">
      <c r="A107" s="516"/>
      <c r="B107" s="504" t="s">
        <v>13</v>
      </c>
      <c r="C107" s="504"/>
      <c r="D107" s="504"/>
      <c r="E107" s="504"/>
      <c r="F107" s="504"/>
      <c r="H107" s="144">
        <f>SUM(H104:H106)</f>
        <v>87</v>
      </c>
      <c r="J107" s="46" t="e">
        <f ca="1">J104+J105+J106</f>
        <v>#REF!</v>
      </c>
      <c r="K107" s="10"/>
      <c r="L107" s="16" t="e">
        <f ca="1">J107/H107</f>
        <v>#REF!</v>
      </c>
      <c r="M107" s="10"/>
      <c r="N107" s="16">
        <f>$F$1</f>
        <v>0.5</v>
      </c>
      <c r="O107" s="8"/>
      <c r="P107" s="46" t="e">
        <f ca="1">SUM(P104:P106)</f>
        <v>#REF!</v>
      </c>
      <c r="Q107" s="10"/>
      <c r="R107" s="16" t="e">
        <f ca="1">P107/J107</f>
        <v>#REF!</v>
      </c>
      <c r="S107" s="10"/>
      <c r="T107" s="40" t="e">
        <f ca="1">P107/J107</f>
        <v>#REF!</v>
      </c>
      <c r="U107" s="8"/>
    </row>
    <row r="108" spans="1:21" ht="15.75" customHeight="1" x14ac:dyDescent="0.25">
      <c r="U108" s="8"/>
    </row>
    <row r="109" spans="1:21" ht="15.75" customHeight="1" x14ac:dyDescent="0.25">
      <c r="A109" s="514" t="s">
        <v>34</v>
      </c>
      <c r="B109" s="504" t="s">
        <v>10</v>
      </c>
      <c r="C109" s="504"/>
      <c r="D109" s="504"/>
      <c r="E109" s="504"/>
      <c r="F109" s="504"/>
      <c r="H109" s="66">
        <v>40</v>
      </c>
      <c r="J109" s="46" t="e">
        <f ca="1">IF(MONTH($C$1)&gt;MONTH(TODAY())+55000,"0",COUNTIFS(ATBCL,"North Team 5",INDIRECT(VLOOKUP(MONTH($C$1),$AF$4:$AG$15,2,0),1),1)+COUNTIFS(ATBCL,"North Team 5",INDIRECT(VLOOKUP(MONTH($C$1),$AF$4:$AG$15,2,0),1),2)+COUNTIFS(ATBCL,"North Team 5",INDIRECT(VLOOKUP(MONTH($C$1),$AF$4:$AG$15,2,0),1),3)+COUNTIFS(ATBCL,"North Team 5",INDIRECT(VLOOKUP(MONTH($C$1),$AF$4:$AG$15,2,0),1),4))</f>
        <v>#REF!</v>
      </c>
      <c r="K109" s="10"/>
      <c r="L109" s="16" t="e">
        <f ca="1">J109/H109</f>
        <v>#REF!</v>
      </c>
      <c r="M109" s="10"/>
      <c r="N109" s="16">
        <f>$F$1</f>
        <v>0.5</v>
      </c>
      <c r="O109" s="8"/>
      <c r="P109" s="46" t="e">
        <f ca="1">COUNTIFS(ATBCL,"North Team 5",INDIRECT(VLOOKUP(MONTH($C$1),$AF$5:$AG$16,2,0),1),3)+COUNTIFS(ATBCL,"North Team 5",INDIRECT(VLOOKUP(MONTH($C$1),$AF$5:$AG$16,2,0),1),4)</f>
        <v>#REF!</v>
      </c>
      <c r="Q109" s="10"/>
      <c r="R109" s="16" t="e">
        <f ca="1">P109/J109</f>
        <v>#REF!</v>
      </c>
      <c r="S109" s="10"/>
      <c r="T109" s="40" t="e">
        <f ca="1">P109/J109</f>
        <v>#REF!</v>
      </c>
      <c r="U109" s="8"/>
    </row>
    <row r="110" spans="1:21" ht="15.75" customHeight="1" x14ac:dyDescent="0.25">
      <c r="A110" s="515"/>
      <c r="B110" s="504" t="s">
        <v>11</v>
      </c>
      <c r="C110" s="504"/>
      <c r="D110" s="504"/>
      <c r="E110" s="504"/>
      <c r="F110" s="504"/>
      <c r="H110" s="66">
        <v>41</v>
      </c>
      <c r="J110" s="46" t="e">
        <f ca="1">IF(MONTH($C$1)&gt;MONTH(TODAY())+55000,0,COUNTIFS(ATBCL,"North Team 5",INDIRECT(VLOOKUP(MONTH($C$1),$AF$18:$AG$29,2,0),1),1)+COUNTIFS(ATBCL,"North Team 5",INDIRECT(VLOOKUP(MONTH($C$1),$AF$18:$AG$29,2,0),1),2)+COUNTIFS(ATBCL,"North Team 5",INDIRECT(VLOOKUP(MONTH($C$1),$AF$18:$AG$29,2,0),1),3)+COUNTIFS(ATBCL,"North Team 5",INDIRECT(VLOOKUP(MONTH($C$1),$AF$18:$AG$29,2,0),1),4))</f>
        <v>#REF!</v>
      </c>
      <c r="K110" s="10"/>
      <c r="L110" s="16" t="e">
        <f ca="1">J110/H110</f>
        <v>#REF!</v>
      </c>
      <c r="M110" s="10"/>
      <c r="N110" s="16">
        <f>$F$1</f>
        <v>0.5</v>
      </c>
      <c r="O110" s="8"/>
      <c r="P110" s="46" t="e">
        <f ca="1">COUNTIFS(ATBCL,"North Team 5",INDIRECT(VLOOKUP(MONTH($C$1),$AF$19:$AG$30,2,0),1),3)+COUNTIFS(ATBCL,"North Team 5",INDIRECT(VLOOKUP(MONTH($C$1),$AF$19:$AG$30,2,0),1),4)</f>
        <v>#REF!</v>
      </c>
      <c r="Q110" s="10"/>
      <c r="R110" s="16" t="e">
        <f ca="1">P110/J110</f>
        <v>#REF!</v>
      </c>
      <c r="S110" s="10"/>
      <c r="T110" s="40" t="e">
        <f ca="1">P110/J110</f>
        <v>#REF!</v>
      </c>
      <c r="U110" s="8"/>
    </row>
    <row r="111" spans="1:21" ht="15.75" customHeight="1" x14ac:dyDescent="0.25">
      <c r="A111" s="515"/>
      <c r="B111" s="504" t="s">
        <v>12</v>
      </c>
      <c r="C111" s="504"/>
      <c r="D111" s="504"/>
      <c r="E111" s="504"/>
      <c r="F111" s="504"/>
      <c r="H111" s="66">
        <v>42</v>
      </c>
      <c r="J111" s="46" t="e">
        <f ca="1">COUNTIFS(ATBLA,"North Team 5",INDIRECT(VLOOKUP(MONTH($C$1),$AF$32:$AG$43,2,0),1),1)+COUNTIFS(ATBLA,"North Team 5",INDIRECT(VLOOKUP(MONTH($C$1),$AF$32:$AG$43,2,0),1),2)+COUNTIFS(ATBLA,"North Team 5",INDIRECT(VLOOKUP(MONTH($C$1),$AF$32:$AG$43,2,0),1),3)+COUNTIFS(ATBLA,"North Team 5",INDIRECT(VLOOKUP(MONTH($C$1),$AF$32:$AG$43,2,0),1),4)</f>
        <v>#REF!</v>
      </c>
      <c r="K111" s="10"/>
      <c r="L111" s="16" t="e">
        <f ca="1">J111/H111</f>
        <v>#REF!</v>
      </c>
      <c r="M111" s="10"/>
      <c r="N111" s="16">
        <f>$F$1</f>
        <v>0.5</v>
      </c>
      <c r="O111" s="8"/>
      <c r="P111" s="46" t="e">
        <f ca="1">COUNTIFS(ATBLA,"North Team 5",INDIRECT(VLOOKUP(MONTH($C$1),$AF$33:$AG$44,2,0),1),3)+COUNTIFS(ATBLA,"North Team 5",INDIRECT(VLOOKUP(MONTH($C$1),$AF$33:$AG$44,2,0),1),4)</f>
        <v>#REF!</v>
      </c>
      <c r="Q111" s="10"/>
      <c r="R111" s="16" t="e">
        <f ca="1">P111/J111</f>
        <v>#REF!</v>
      </c>
      <c r="S111" s="10"/>
      <c r="T111" s="40" t="e">
        <f ca="1">P111/J111</f>
        <v>#REF!</v>
      </c>
      <c r="U111" s="8"/>
    </row>
    <row r="112" spans="1:21" ht="15.75" customHeight="1" x14ac:dyDescent="0.25">
      <c r="A112" s="516"/>
      <c r="B112" s="504" t="s">
        <v>13</v>
      </c>
      <c r="C112" s="504"/>
      <c r="D112" s="504"/>
      <c r="E112" s="504"/>
      <c r="F112" s="504"/>
      <c r="H112" s="144">
        <f>SUM(H109:H111)</f>
        <v>123</v>
      </c>
      <c r="J112" s="46" t="e">
        <f ca="1">J109+J110+J111</f>
        <v>#REF!</v>
      </c>
      <c r="K112" s="10"/>
      <c r="L112" s="16" t="e">
        <f ca="1">J112/H112</f>
        <v>#REF!</v>
      </c>
      <c r="M112" s="10"/>
      <c r="N112" s="16">
        <f>$F$1</f>
        <v>0.5</v>
      </c>
      <c r="O112" s="8"/>
      <c r="P112" s="46" t="e">
        <f ca="1">SUM(P109:P111)</f>
        <v>#REF!</v>
      </c>
      <c r="Q112" s="10"/>
      <c r="R112" s="16" t="e">
        <f ca="1">P112/J112</f>
        <v>#REF!</v>
      </c>
      <c r="S112" s="10"/>
      <c r="T112" s="40" t="e">
        <f ca="1">P112/J112</f>
        <v>#REF!</v>
      </c>
      <c r="U112" s="8"/>
    </row>
    <row r="113" spans="1:21" ht="15.75" customHeight="1" x14ac:dyDescent="0.25">
      <c r="U113" s="8"/>
    </row>
    <row r="114" spans="1:21" ht="15.75" customHeight="1" x14ac:dyDescent="0.25">
      <c r="A114" s="514" t="s">
        <v>35</v>
      </c>
      <c r="B114" s="504" t="s">
        <v>10</v>
      </c>
      <c r="C114" s="504"/>
      <c r="D114" s="504"/>
      <c r="E114" s="504"/>
      <c r="F114" s="504"/>
      <c r="G114" t="s">
        <v>3</v>
      </c>
      <c r="H114" s="66">
        <v>39</v>
      </c>
      <c r="J114" s="46" t="e">
        <f ca="1">IF(MONTH($C$1)&gt;MONTH(TODAY())+55000,"0",COUNTIFS(ATBCL,"North Team 6",INDIRECT(VLOOKUP(MONTH($C$1),$AF$4:$AG$15,2,0),1),1)+COUNTIFS(ATBCL,"North Team 6",INDIRECT(VLOOKUP(MONTH($C$1),$AF$4:$AG$15,2,0),1),2)+COUNTIFS(ATBCL,"North Team 6",INDIRECT(VLOOKUP(MONTH($C$1),$AF$4:$AG$15,2,0),1),3)+COUNTIFS(ATBCL,"North Team 6",INDIRECT(VLOOKUP(MONTH($C$1),$AF$4:$AG$15,2,0),1),4))</f>
        <v>#REF!</v>
      </c>
      <c r="K114" s="10"/>
      <c r="L114" s="16" t="e">
        <f ca="1">J114/H114</f>
        <v>#REF!</v>
      </c>
      <c r="M114" s="10"/>
      <c r="N114" s="16">
        <f>$F$1</f>
        <v>0.5</v>
      </c>
      <c r="O114" s="8"/>
      <c r="P114" s="46" t="e">
        <f ca="1">COUNTIFS(ATBCL,"North Team 6",INDIRECT(VLOOKUP(MONTH($C$1),$AF$5:$AG$16,2,0),1),3)+COUNTIFS(ATBCL,"North Team 6",INDIRECT(VLOOKUP(MONTH($C$1),$AF$5:$AG$16,2,0),1),4)</f>
        <v>#REF!</v>
      </c>
      <c r="Q114" s="10"/>
      <c r="R114" s="16" t="e">
        <f ca="1">P114/J114</f>
        <v>#REF!</v>
      </c>
      <c r="S114" s="10"/>
      <c r="T114" s="40" t="e">
        <f ca="1">P114/J114</f>
        <v>#REF!</v>
      </c>
      <c r="U114" s="8"/>
    </row>
    <row r="115" spans="1:21" ht="15.75" customHeight="1" x14ac:dyDescent="0.25">
      <c r="A115" s="515"/>
      <c r="B115" s="504" t="s">
        <v>11</v>
      </c>
      <c r="C115" s="504"/>
      <c r="D115" s="504"/>
      <c r="E115" s="504"/>
      <c r="F115" s="504"/>
      <c r="H115" s="66">
        <v>47</v>
      </c>
      <c r="J115" s="46" t="e">
        <f ca="1">IF(MONTH($C$1)&gt;MONTH(TODAY())+55000,0,COUNTIFS(ATBCL,"North Team 6",INDIRECT(VLOOKUP(MONTH($C$1),$AF$18:$AG$29,2,0),1),1)+COUNTIFS(ATBCL,"North Team 6",INDIRECT(VLOOKUP(MONTH($C$1),$AF$18:$AG$29,2,0),1),2)+COUNTIFS(ATBCL,"North Team 6",INDIRECT(VLOOKUP(MONTH($C$1),$AF$18:$AG$29,2,0),1),3)+COUNTIFS(ATBCL,"North Team 6",INDIRECT(VLOOKUP(MONTH($C$1),$AF$18:$AG$29,2,0),1),4))</f>
        <v>#REF!</v>
      </c>
      <c r="K115" s="10"/>
      <c r="L115" s="16" t="e">
        <f ca="1">J115/H115</f>
        <v>#REF!</v>
      </c>
      <c r="M115" s="10"/>
      <c r="N115" s="16">
        <f>$F$1</f>
        <v>0.5</v>
      </c>
      <c r="O115" s="8"/>
      <c r="P115" s="46" t="e">
        <f ca="1">COUNTIFS(ATBCL,"North Team 6",INDIRECT(VLOOKUP(MONTH($C$1),$AF$19:$AG$30,2,0),1),3)+COUNTIFS(ATBCL,"North Team 6",INDIRECT(VLOOKUP(MONTH($C$1),$AF$19:$AG$30,2,0),1),4)</f>
        <v>#REF!</v>
      </c>
      <c r="Q115" s="10"/>
      <c r="R115" s="16" t="e">
        <f ca="1">P115/J115</f>
        <v>#REF!</v>
      </c>
      <c r="S115" s="10"/>
      <c r="T115" s="40" t="e">
        <f ca="1">P115/J115</f>
        <v>#REF!</v>
      </c>
      <c r="U115" s="8"/>
    </row>
    <row r="116" spans="1:21" ht="15.75" customHeight="1" x14ac:dyDescent="0.25">
      <c r="A116" s="515"/>
      <c r="B116" s="504" t="s">
        <v>12</v>
      </c>
      <c r="C116" s="504"/>
      <c r="D116" s="504"/>
      <c r="E116" s="504"/>
      <c r="F116" s="504"/>
      <c r="H116" s="66">
        <v>45</v>
      </c>
      <c r="J116" s="46" t="e">
        <f ca="1">COUNTIFS(ATBLA,"North Team 6",INDIRECT(VLOOKUP(MONTH($C$1),$AF$32:$AG$43,2,0),1),1)+COUNTIFS(ATBLA,"North Team 6",INDIRECT(VLOOKUP(MONTH($C$1),$AF$32:$AG$43,2,0),1),2)+COUNTIFS(ATBLA,"North Team 6",INDIRECT(VLOOKUP(MONTH($C$1),$AF$32:$AG$43,2,0),1),3)+COUNTIFS(ATBLA,"North Team 6",INDIRECT(VLOOKUP(MONTH($C$1),$AF$32:$AG$43,2,0),1),4)</f>
        <v>#REF!</v>
      </c>
      <c r="K116" s="10"/>
      <c r="L116" s="16" t="e">
        <f ca="1">J116/H116</f>
        <v>#REF!</v>
      </c>
      <c r="M116" s="10"/>
      <c r="N116" s="16">
        <f>$F$1</f>
        <v>0.5</v>
      </c>
      <c r="O116" s="8"/>
      <c r="P116" s="46" t="e">
        <f ca="1">COUNTIFS(ATBLA,"North Team 6",INDIRECT(VLOOKUP(MONTH($C$1),$AF$33:$AG$44,2,0),1),3)+COUNTIFS(ATBLA,"North Team 6",INDIRECT(VLOOKUP(MONTH($C$1),$AF$33:$AG$44,2,0),1),4)</f>
        <v>#REF!</v>
      </c>
      <c r="Q116" s="10"/>
      <c r="R116" s="16" t="e">
        <f ca="1">P116/J116</f>
        <v>#REF!</v>
      </c>
      <c r="S116" s="10"/>
      <c r="T116" s="40" t="e">
        <f ca="1">P116/J116</f>
        <v>#REF!</v>
      </c>
      <c r="U116" s="8"/>
    </row>
    <row r="117" spans="1:21" ht="15.75" customHeight="1" x14ac:dyDescent="0.25">
      <c r="A117" s="516"/>
      <c r="B117" s="504" t="s">
        <v>13</v>
      </c>
      <c r="C117" s="504"/>
      <c r="D117" s="504"/>
      <c r="E117" s="504"/>
      <c r="F117" s="504"/>
      <c r="H117" s="144">
        <f>SUM(H114:H116)</f>
        <v>131</v>
      </c>
      <c r="J117" s="46" t="e">
        <f ca="1">J114+J115+J116</f>
        <v>#REF!</v>
      </c>
      <c r="K117" s="10"/>
      <c r="L117" s="16" t="e">
        <f ca="1">J117/H117</f>
        <v>#REF!</v>
      </c>
      <c r="M117" s="10"/>
      <c r="N117" s="16">
        <f>$F$1</f>
        <v>0.5</v>
      </c>
      <c r="O117" s="8"/>
      <c r="P117" s="46" t="e">
        <f ca="1">SUM(P114:P116)</f>
        <v>#REF!</v>
      </c>
      <c r="Q117" s="10"/>
      <c r="R117" s="16" t="e">
        <f ca="1">P117/J117</f>
        <v>#REF!</v>
      </c>
      <c r="S117" s="10"/>
      <c r="T117" s="40" t="e">
        <f ca="1">P117/J117</f>
        <v>#REF!</v>
      </c>
      <c r="U117" s="8"/>
    </row>
    <row r="118" spans="1:21" ht="15.75" customHeight="1" x14ac:dyDescent="0.25">
      <c r="U118" s="8"/>
    </row>
    <row r="119" spans="1:21" ht="15.75" customHeight="1" x14ac:dyDescent="0.25">
      <c r="A119" s="514" t="s">
        <v>36</v>
      </c>
      <c r="B119" s="504" t="s">
        <v>10</v>
      </c>
      <c r="C119" s="504"/>
      <c r="D119" s="504"/>
      <c r="E119" s="504"/>
      <c r="F119" s="504"/>
      <c r="H119" s="66">
        <v>40</v>
      </c>
      <c r="J119" s="46" t="e">
        <f ca="1">IF(MONTH($C$1)&gt;MONTH(TODAY())+55000,"0",COUNTIFS(ATBCL,"North Team 7",INDIRECT(VLOOKUP(MONTH($C$1),$AF$4:$AG$15,2,0),1),1)+COUNTIFS(ATBCL,"North Team 7",INDIRECT(VLOOKUP(MONTH($C$1),$AF$4:$AG$15,2,0),1),2)+COUNTIFS(ATBCL,"North Team 7",INDIRECT(VLOOKUP(MONTH($C$1),$AF$4:$AG$15,2,0),1),3)+COUNTIFS(ATBCL,"North Team 7",INDIRECT(VLOOKUP(MONTH($C$1),$AF$4:$AG$15,2,0),1),4))</f>
        <v>#REF!</v>
      </c>
      <c r="K119" s="10"/>
      <c r="L119" s="16" t="e">
        <f ca="1">J119/H119</f>
        <v>#REF!</v>
      </c>
      <c r="M119" s="10"/>
      <c r="N119" s="16">
        <f>$F$1</f>
        <v>0.5</v>
      </c>
      <c r="O119" s="8"/>
      <c r="P119" s="46" t="e">
        <f ca="1">COUNTIFS(ATBCL,"North Team 7",INDIRECT(VLOOKUP(MONTH($C$1),$AF$5:$AG$16,2,0),1),3)+COUNTIFS(ATBCL,"North Team 7",INDIRECT(VLOOKUP(MONTH($C$1),$AF$5:$AG$16,2,0),1),4)</f>
        <v>#REF!</v>
      </c>
      <c r="Q119" s="10"/>
      <c r="R119" s="16" t="e">
        <f ca="1">P119/J119</f>
        <v>#REF!</v>
      </c>
      <c r="S119" s="10"/>
      <c r="T119" s="40" t="e">
        <f ca="1">P119/J119</f>
        <v>#REF!</v>
      </c>
      <c r="U119" s="8"/>
    </row>
    <row r="120" spans="1:21" ht="15.75" customHeight="1" x14ac:dyDescent="0.25">
      <c r="A120" s="515"/>
      <c r="B120" s="504" t="s">
        <v>11</v>
      </c>
      <c r="C120" s="504"/>
      <c r="D120" s="504"/>
      <c r="E120" s="504"/>
      <c r="F120" s="504"/>
      <c r="H120" s="66">
        <v>40</v>
      </c>
      <c r="J120" s="46" t="e">
        <f ca="1">IF(MONTH($C$1)&gt;MONTH(TODAY())+55000,0,COUNTIFS(ATBCL,"North Team 7",INDIRECT(VLOOKUP(MONTH($C$1),$AF$18:$AG$29,2,0),1),1)+COUNTIFS(ATBCL,"North Team 7",INDIRECT(VLOOKUP(MONTH($C$1),$AF$18:$AG$29,2,0),1),2)+COUNTIFS(ATBCL,"North Team 7",INDIRECT(VLOOKUP(MONTH($C$1),$AF$18:$AG$29,2,0),1),3)+COUNTIFS(ATBCL,"North Team 7",INDIRECT(VLOOKUP(MONTH($C$1),$AF$18:$AG$29,2,0),1),4))</f>
        <v>#REF!</v>
      </c>
      <c r="K120" s="10"/>
      <c r="L120" s="16" t="e">
        <f ca="1">J120/H120</f>
        <v>#REF!</v>
      </c>
      <c r="M120" s="10"/>
      <c r="N120" s="16">
        <f>$F$1</f>
        <v>0.5</v>
      </c>
      <c r="O120" s="8"/>
      <c r="P120" s="46" t="e">
        <f ca="1">COUNTIFS(ATBCL,"North Team 7",INDIRECT(VLOOKUP(MONTH($C$1),$AF$19:$AG$30,2,0),1),3)+COUNTIFS(ATBCL,"North Team 7",INDIRECT(VLOOKUP(MONTH($C$1),$AF$19:$AG$30,2,0),1),4)</f>
        <v>#REF!</v>
      </c>
      <c r="Q120" s="10"/>
      <c r="R120" s="16" t="e">
        <f ca="1">P120/J120</f>
        <v>#REF!</v>
      </c>
      <c r="S120" s="10"/>
      <c r="T120" s="40" t="e">
        <f ca="1">P120/J120</f>
        <v>#REF!</v>
      </c>
      <c r="U120" s="8"/>
    </row>
    <row r="121" spans="1:21" ht="15.75" customHeight="1" x14ac:dyDescent="0.25">
      <c r="A121" s="515"/>
      <c r="B121" s="504" t="s">
        <v>12</v>
      </c>
      <c r="C121" s="504"/>
      <c r="D121" s="504"/>
      <c r="E121" s="504"/>
      <c r="F121" s="504"/>
      <c r="H121" s="66">
        <v>40</v>
      </c>
      <c r="J121" s="46" t="e">
        <f ca="1">COUNTIFS(ATBLA,"North Team 7",INDIRECT(VLOOKUP(MONTH($C$1),$AF$32:$AG$43,2,0),1),1)+COUNTIFS(ATBLA,"North Team 7",INDIRECT(VLOOKUP(MONTH($C$1),$AF$32:$AG$43,2,0),1),2)+COUNTIFS(ATBLA,"North Team 7",INDIRECT(VLOOKUP(MONTH($C$1),$AF$32:$AG$43,2,0),1),3)+COUNTIFS(ATBLA,"North Team 7",INDIRECT(VLOOKUP(MONTH($C$1),$AF$32:$AG$43,2,0),1),4)</f>
        <v>#REF!</v>
      </c>
      <c r="K121" s="10"/>
      <c r="L121" s="16" t="e">
        <f ca="1">J121/H121</f>
        <v>#REF!</v>
      </c>
      <c r="M121" s="10"/>
      <c r="N121" s="16">
        <f>$F$1</f>
        <v>0.5</v>
      </c>
      <c r="O121" s="8"/>
      <c r="P121" s="46" t="e">
        <f ca="1">COUNTIFS(ATBLA,"North Team 7",INDIRECT(VLOOKUP(MONTH($C$1),$AF$33:$AG$44,2,0),1),3)+COUNTIFS(ATBLA,"North Team 7",INDIRECT(VLOOKUP(MONTH($C$1),$AF$33:$AG$44,2,0),1),4)</f>
        <v>#REF!</v>
      </c>
      <c r="Q121" s="10"/>
      <c r="R121" s="16" t="e">
        <f ca="1">P121/J121</f>
        <v>#REF!</v>
      </c>
      <c r="S121" s="10"/>
      <c r="T121" s="40" t="e">
        <f ca="1">P121/J121</f>
        <v>#REF!</v>
      </c>
      <c r="U121" s="8"/>
    </row>
    <row r="122" spans="1:21" ht="15.75" customHeight="1" x14ac:dyDescent="0.25">
      <c r="A122" s="516"/>
      <c r="B122" s="504" t="s">
        <v>13</v>
      </c>
      <c r="C122" s="504"/>
      <c r="D122" s="504"/>
      <c r="E122" s="504"/>
      <c r="F122" s="504"/>
      <c r="H122" s="144">
        <f>SUM(H119:H121)</f>
        <v>120</v>
      </c>
      <c r="J122" s="46" t="e">
        <f ca="1">J119+J120+J121</f>
        <v>#REF!</v>
      </c>
      <c r="K122" s="10"/>
      <c r="L122" s="16" t="e">
        <f ca="1">J122/H122</f>
        <v>#REF!</v>
      </c>
      <c r="M122" s="10"/>
      <c r="N122" s="16">
        <f>$F$1</f>
        <v>0.5</v>
      </c>
      <c r="O122" s="8"/>
      <c r="P122" s="46" t="e">
        <f ca="1">SUM(P119:P121)</f>
        <v>#REF!</v>
      </c>
      <c r="Q122" s="10"/>
      <c r="R122" s="16" t="e">
        <f ca="1">P122/J122</f>
        <v>#REF!</v>
      </c>
      <c r="S122" s="10"/>
      <c r="T122" s="40" t="e">
        <f ca="1">P122/J122</f>
        <v>#REF!</v>
      </c>
      <c r="U122" s="8"/>
    </row>
    <row r="123" spans="1:21" ht="15.75" customHeight="1" x14ac:dyDescent="0.25">
      <c r="U123" s="8"/>
    </row>
    <row r="124" spans="1:21" ht="15.75" customHeight="1" x14ac:dyDescent="0.25">
      <c r="A124" s="505" t="s">
        <v>37</v>
      </c>
      <c r="B124" s="504" t="s">
        <v>10</v>
      </c>
      <c r="C124" s="504"/>
      <c r="D124" s="504"/>
      <c r="E124" s="504"/>
      <c r="F124" s="504"/>
      <c r="G124" t="s">
        <v>3</v>
      </c>
      <c r="H124" s="66">
        <v>39</v>
      </c>
      <c r="J124" s="46" t="e">
        <f ca="1">IF(MONTH($C$1)&gt;MONTH(TODAY())+55000,"0",COUNTIFS(ATBCL,"South Team 1",INDIRECT(VLOOKUP(MONTH($C$1),$AF$4:$AG$15,2,0),1),1)+COUNTIFS(ATBCL,"South Team 1",INDIRECT(VLOOKUP(MONTH($C$1),$AF$4:$AG$15,2,0),1),2)+COUNTIFS(ATBCL,"South Team 1",INDIRECT(VLOOKUP(MONTH($C$1),$AF$4:$AG$15,2,0),1),3)+COUNTIFS(ATBCL,"South Team 1",INDIRECT(VLOOKUP(MONTH($C$1),$AF$4:$AG$15,2,0),1),4))</f>
        <v>#REF!</v>
      </c>
      <c r="K124" s="10"/>
      <c r="L124" s="16" t="e">
        <f ca="1">J124/H124</f>
        <v>#REF!</v>
      </c>
      <c r="M124" s="10"/>
      <c r="N124" s="16">
        <f>$F$1</f>
        <v>0.5</v>
      </c>
      <c r="O124" s="8"/>
      <c r="P124" s="46" t="e">
        <f ca="1">COUNTIFS(ATBCL,"South Team 1",INDIRECT(VLOOKUP(MONTH($C$1),$AF$5:$AG$16,2,0),1),3)+COUNTIFS(ATBCL,"South Team 1",INDIRECT(VLOOKUP(MONTH($C$1),$AF$5:$AG$16,2,0),1),4)</f>
        <v>#REF!</v>
      </c>
      <c r="Q124" s="10"/>
      <c r="R124" s="16" t="e">
        <f ca="1">P124/J124</f>
        <v>#REF!</v>
      </c>
      <c r="S124" s="10"/>
      <c r="T124" s="40" t="e">
        <f ca="1">P124/J124</f>
        <v>#REF!</v>
      </c>
      <c r="U124" s="8"/>
    </row>
    <row r="125" spans="1:21" ht="15.75" customHeight="1" x14ac:dyDescent="0.25">
      <c r="A125" s="529"/>
      <c r="B125" s="504" t="s">
        <v>11</v>
      </c>
      <c r="C125" s="504"/>
      <c r="D125" s="504"/>
      <c r="E125" s="504"/>
      <c r="F125" s="504"/>
      <c r="H125" s="66">
        <v>42</v>
      </c>
      <c r="J125" s="46" t="e">
        <f ca="1">IF(MONTH($C$1)&gt;MONTH(TODAY())+55000,0,COUNTIFS(ATBCL,"South Team 1",INDIRECT(VLOOKUP(MONTH($C$1),$AF$18:$AG$29,2,0),1),1)+COUNTIFS(ATBCL,"South Team 1",INDIRECT(VLOOKUP(MONTH($C$1),$AF$18:$AG$29,2,0),1),2)+COUNTIFS(ATBCL,"South Team 1",INDIRECT(VLOOKUP(MONTH($C$1),$AF$18:$AG$29,2,0),1),3)+COUNTIFS(ATBCL,"South Team 1",INDIRECT(VLOOKUP(MONTH($C$1),$AF$18:$AG$29,2,0),1),4))</f>
        <v>#REF!</v>
      </c>
      <c r="K125" s="10"/>
      <c r="L125" s="16" t="e">
        <f ca="1">J125/H125</f>
        <v>#REF!</v>
      </c>
      <c r="M125" s="10"/>
      <c r="N125" s="16">
        <f>$F$1</f>
        <v>0.5</v>
      </c>
      <c r="O125" s="8"/>
      <c r="P125" s="46" t="e">
        <f ca="1">COUNTIFS(ATBCL,"South Team 1",INDIRECT(VLOOKUP(MONTH($C$1),$AF$19:$AG$30,2,0),1),3)+COUNTIFS(ATBCL,"South Team 1",INDIRECT(VLOOKUP(MONTH($C$1),$AF$19:$AG$30,2,0),1),4)</f>
        <v>#REF!</v>
      </c>
      <c r="Q125" s="10"/>
      <c r="R125" s="16" t="e">
        <f ca="1">P125/J125</f>
        <v>#REF!</v>
      </c>
      <c r="S125" s="10"/>
      <c r="T125" s="40" t="e">
        <f ca="1">P125/J125</f>
        <v>#REF!</v>
      </c>
      <c r="U125" s="8"/>
    </row>
    <row r="126" spans="1:21" ht="15.75" customHeight="1" x14ac:dyDescent="0.25">
      <c r="A126" s="529"/>
      <c r="B126" s="504" t="s">
        <v>12</v>
      </c>
      <c r="C126" s="504"/>
      <c r="D126" s="504"/>
      <c r="E126" s="504"/>
      <c r="F126" s="504"/>
      <c r="H126" s="66">
        <v>30</v>
      </c>
      <c r="J126" s="46" t="e">
        <f ca="1">COUNTIFS(ATBLA,"South Team 1",INDIRECT(VLOOKUP(MONTH($C$1),$AF$32:$AG$43,2,0),1),1)+COUNTIFS(ATBLA,"South Team 1",INDIRECT(VLOOKUP(MONTH($C$1),$AF$32:$AG$43,2,0),1),2)+COUNTIFS(ATBLA,"South Team 1",INDIRECT(VLOOKUP(MONTH($C$1),$AF$32:$AG$43,2,0),1),3)+COUNTIFS(ATBLA,"South Team 1",INDIRECT(VLOOKUP(MONTH($C$1),$AF$32:$AG$43,2,0),1),4)</f>
        <v>#REF!</v>
      </c>
      <c r="K126" s="10"/>
      <c r="L126" s="16" t="e">
        <f ca="1">J126/H126</f>
        <v>#REF!</v>
      </c>
      <c r="M126" s="10"/>
      <c r="N126" s="16">
        <f>$F$1</f>
        <v>0.5</v>
      </c>
      <c r="O126" s="8"/>
      <c r="P126" s="46" t="e">
        <f ca="1">COUNTIFS(ATBLA,"South Team 1",INDIRECT(VLOOKUP(MONTH($C$1),$AF$33:$AG$44,2,0),1),3)+COUNTIFS(ATBLA,"South Team 1",INDIRECT(VLOOKUP(MONTH($C$1),$AF$33:$AG$44,2,0),1),4)</f>
        <v>#REF!</v>
      </c>
      <c r="Q126" s="10"/>
      <c r="R126" s="16" t="e">
        <f ca="1">P126/J126</f>
        <v>#REF!</v>
      </c>
      <c r="S126" s="10"/>
      <c r="T126" s="40" t="e">
        <f ca="1">P126/J126</f>
        <v>#REF!</v>
      </c>
      <c r="U126" s="8"/>
    </row>
    <row r="127" spans="1:21" ht="15.75" customHeight="1" x14ac:dyDescent="0.25">
      <c r="A127" s="530"/>
      <c r="B127" s="504" t="s">
        <v>13</v>
      </c>
      <c r="C127" s="504"/>
      <c r="D127" s="504"/>
      <c r="E127" s="504"/>
      <c r="F127" s="504"/>
      <c r="H127" s="144">
        <f>SUM(H124:H126)</f>
        <v>111</v>
      </c>
      <c r="J127" s="46" t="e">
        <f ca="1">J124+J125+J126</f>
        <v>#REF!</v>
      </c>
      <c r="K127" s="10"/>
      <c r="L127" s="16" t="e">
        <f ca="1">J127/H127</f>
        <v>#REF!</v>
      </c>
      <c r="M127" s="10"/>
      <c r="N127" s="16">
        <f>$F$1</f>
        <v>0.5</v>
      </c>
      <c r="O127" s="8"/>
      <c r="P127" s="46" t="e">
        <f ca="1">SUM(P124:P126)</f>
        <v>#REF!</v>
      </c>
      <c r="Q127" s="10"/>
      <c r="R127" s="16" t="e">
        <f ca="1">P127/J127</f>
        <v>#REF!</v>
      </c>
      <c r="S127" s="10"/>
      <c r="T127" s="40" t="e">
        <f ca="1">P127/J127</f>
        <v>#REF!</v>
      </c>
      <c r="U127" s="8"/>
    </row>
    <row r="128" spans="1:21" ht="15.75" customHeight="1" x14ac:dyDescent="0.25">
      <c r="U128" s="8"/>
    </row>
    <row r="129" spans="1:21" ht="15.75" customHeight="1" x14ac:dyDescent="0.25">
      <c r="A129" s="505" t="s">
        <v>38</v>
      </c>
      <c r="B129" s="504" t="s">
        <v>10</v>
      </c>
      <c r="C129" s="504"/>
      <c r="D129" s="504"/>
      <c r="E129" s="504"/>
      <c r="F129" s="504"/>
      <c r="H129" s="66">
        <v>18</v>
      </c>
      <c r="J129" s="46" t="e">
        <f ca="1">IF(MONTH($C$1)&gt;MONTH(TODAY())+55000,"0",COUNTIFS(ATBCL,"South Team 2",INDIRECT(VLOOKUP(MONTH($C$1),$AF$4:$AG$15,2,0),1),1)+COUNTIFS(ATBCL,"South Team 2",INDIRECT(VLOOKUP(MONTH($C$1),$AF$4:$AG$15,2,0),1),2)+COUNTIFS(ATBCL,"South Team 2",INDIRECT(VLOOKUP(MONTH($C$1),$AF$4:$AG$15,2,0),1),3)+COUNTIFS(ATBCL,"South Team 2",INDIRECT(VLOOKUP(MONTH($C$1),$AF$4:$AG$15,2,0),1),4))</f>
        <v>#REF!</v>
      </c>
      <c r="K129" s="10"/>
      <c r="L129" s="16" t="e">
        <f ca="1">J129/H129</f>
        <v>#REF!</v>
      </c>
      <c r="M129" s="10"/>
      <c r="N129" s="16">
        <f>$F$1</f>
        <v>0.5</v>
      </c>
      <c r="O129" s="8"/>
      <c r="P129" s="46" t="e">
        <f ca="1">COUNTIFS(ATBCL,"South Team 2",INDIRECT(VLOOKUP(MONTH($C$1),$AF$5:$AG$16,2,0),1),3)+COUNTIFS(ATBCL,"South Team 2",INDIRECT(VLOOKUP(MONTH($C$1),$AF$5:$AG$16,2,0),1),4)</f>
        <v>#REF!</v>
      </c>
      <c r="Q129" s="10"/>
      <c r="R129" s="16" t="e">
        <f ca="1">P129/J129</f>
        <v>#REF!</v>
      </c>
      <c r="S129" s="10"/>
      <c r="T129" s="40" t="e">
        <f ca="1">P129/J129</f>
        <v>#REF!</v>
      </c>
      <c r="U129" s="8"/>
    </row>
    <row r="130" spans="1:21" ht="15.75" customHeight="1" x14ac:dyDescent="0.25">
      <c r="A130" s="529"/>
      <c r="B130" s="504" t="s">
        <v>11</v>
      </c>
      <c r="C130" s="504"/>
      <c r="D130" s="504"/>
      <c r="E130" s="504"/>
      <c r="F130" s="504"/>
      <c r="H130" s="66">
        <v>18</v>
      </c>
      <c r="J130" s="46" t="e">
        <f ca="1">IF(MONTH($C$1)&gt;MONTH(TODAY())+55000,0,COUNTIFS(ATBCL,"South Team 2",INDIRECT(VLOOKUP(MONTH($C$1),$AF$18:$AG$29,2,0),1),1)+COUNTIFS(ATBCL,"South Team 2",INDIRECT(VLOOKUP(MONTH($C$1),$AF$18:$AG$29,2,0),1),2)+COUNTIFS(ATBCL,"South Team 2",INDIRECT(VLOOKUP(MONTH($C$1),$AF$18:$AG$29,2,0),1),3)+COUNTIFS(ATBCL,"South Team 2",INDIRECT(VLOOKUP(MONTH($C$1),$AF$18:$AG$29,2,0),1),4))</f>
        <v>#REF!</v>
      </c>
      <c r="K130" s="10"/>
      <c r="L130" s="16" t="e">
        <f ca="1">J130/H130</f>
        <v>#REF!</v>
      </c>
      <c r="M130" s="10"/>
      <c r="N130" s="16">
        <f>$F$1</f>
        <v>0.5</v>
      </c>
      <c r="O130" s="8"/>
      <c r="P130" s="46" t="e">
        <f ca="1">COUNTIFS(ATBCL,"South Team 2",INDIRECT(VLOOKUP(MONTH($C$1),$AF$19:$AG$30,2,0),1),3)+COUNTIFS(ATBCL,"South Team 2",INDIRECT(VLOOKUP(MONTH($C$1),$AF$19:$AG$30,2,0),1),4)</f>
        <v>#REF!</v>
      </c>
      <c r="Q130" s="10"/>
      <c r="R130" s="16" t="e">
        <f ca="1">P130/J130</f>
        <v>#REF!</v>
      </c>
      <c r="S130" s="10"/>
      <c r="T130" s="40" t="e">
        <f ca="1">P130/J130</f>
        <v>#REF!</v>
      </c>
      <c r="U130" s="8"/>
    </row>
    <row r="131" spans="1:21" ht="15.75" customHeight="1" x14ac:dyDescent="0.25">
      <c r="A131" s="529"/>
      <c r="B131" s="504" t="s">
        <v>12</v>
      </c>
      <c r="C131" s="504"/>
      <c r="D131" s="504"/>
      <c r="E131" s="504"/>
      <c r="F131" s="504"/>
      <c r="H131" s="66">
        <v>12</v>
      </c>
      <c r="J131" s="46" t="e">
        <f ca="1">COUNTIFS(ATBLA,"South Team 2",INDIRECT(VLOOKUP(MONTH($C$1),$AF$32:$AG$43,2,0),1),1)+COUNTIFS(ATBLA,"South Team 2",INDIRECT(VLOOKUP(MONTH($C$1),$AF$32:$AG$43,2,0),1),2)+COUNTIFS(ATBLA,"South Team 2",INDIRECT(VLOOKUP(MONTH($C$1),$AF$32:$AG$43,2,0),1),3)+COUNTIFS(ATBLA,"South Team 2",INDIRECT(VLOOKUP(MONTH($C$1),$AF$32:$AG$43,2,0),1),4)</f>
        <v>#REF!</v>
      </c>
      <c r="K131" s="10"/>
      <c r="L131" s="16" t="e">
        <f ca="1">J131/H131</f>
        <v>#REF!</v>
      </c>
      <c r="M131" s="10"/>
      <c r="N131" s="16">
        <f>$F$1</f>
        <v>0.5</v>
      </c>
      <c r="O131" s="8"/>
      <c r="P131" s="46" t="e">
        <f ca="1">COUNTIFS(ATBLA,"South Team 2",INDIRECT(VLOOKUP(MONTH($C$1),$AF$33:$AG$44,2,0),1),3)+COUNTIFS(ATBLA,"South Team 2",INDIRECT(VLOOKUP(MONTH($C$1),$AF$33:$AG$44,2,0),1),4)</f>
        <v>#REF!</v>
      </c>
      <c r="Q131" s="10"/>
      <c r="R131" s="16" t="e">
        <f ca="1">P131/J131</f>
        <v>#REF!</v>
      </c>
      <c r="S131" s="10"/>
      <c r="T131" s="40" t="e">
        <f ca="1">P131/J131</f>
        <v>#REF!</v>
      </c>
      <c r="U131" s="8"/>
    </row>
    <row r="132" spans="1:21" ht="15.75" customHeight="1" x14ac:dyDescent="0.25">
      <c r="A132" s="530"/>
      <c r="B132" s="504" t="s">
        <v>13</v>
      </c>
      <c r="C132" s="504"/>
      <c r="D132" s="504"/>
      <c r="E132" s="504"/>
      <c r="F132" s="504"/>
      <c r="H132" s="144">
        <f>SUM(H129:H131)</f>
        <v>48</v>
      </c>
      <c r="J132" s="46" t="e">
        <f ca="1">J129+J130+J131</f>
        <v>#REF!</v>
      </c>
      <c r="K132" s="10"/>
      <c r="L132" s="16" t="e">
        <f ca="1">J132/H132</f>
        <v>#REF!</v>
      </c>
      <c r="M132" s="10"/>
      <c r="N132" s="16">
        <f>$F$1</f>
        <v>0.5</v>
      </c>
      <c r="O132" s="8"/>
      <c r="P132" s="46" t="e">
        <f ca="1">SUM(P129:P131)</f>
        <v>#REF!</v>
      </c>
      <c r="Q132" s="10"/>
      <c r="R132" s="16" t="e">
        <f ca="1">P132/J132</f>
        <v>#REF!</v>
      </c>
      <c r="S132" s="10"/>
      <c r="T132" s="40" t="e">
        <f ca="1">P132/J132</f>
        <v>#REF!</v>
      </c>
      <c r="U132" s="8"/>
    </row>
    <row r="133" spans="1:21" ht="15.75" customHeight="1" thickBot="1" x14ac:dyDescent="0.3">
      <c r="U133" s="8"/>
    </row>
    <row r="134" spans="1:21" ht="15.75" customHeight="1" x14ac:dyDescent="0.25">
      <c r="A134" s="517" t="s">
        <v>39</v>
      </c>
      <c r="B134" s="50" t="s">
        <v>10</v>
      </c>
      <c r="C134" s="50"/>
      <c r="D134" s="50"/>
      <c r="E134" s="50"/>
      <c r="F134" s="51"/>
      <c r="G134" s="15"/>
      <c r="H134" s="46">
        <f>SUM(H4+H9+H19+H24+H29+H34+H39+H49)</f>
        <v>78</v>
      </c>
      <c r="I134" s="10"/>
      <c r="J134" s="46" t="e">
        <f ca="1">SUM(J4+J9+J19+J24+J29+J34+J39+J49)</f>
        <v>#REF!</v>
      </c>
      <c r="K134" s="10"/>
      <c r="L134" s="16" t="e">
        <f ca="1">J134/H134</f>
        <v>#REF!</v>
      </c>
      <c r="M134" s="10"/>
      <c r="N134" s="16">
        <f>$F$1</f>
        <v>0.5</v>
      </c>
      <c r="O134" s="8"/>
      <c r="P134" s="46" t="e">
        <f ca="1">SUM(P4+P9+P19+P24+P29+P34+P39+P49)</f>
        <v>#REF!</v>
      </c>
      <c r="Q134" s="10"/>
      <c r="R134" s="16" t="e">
        <f ca="1">P134/J134</f>
        <v>#REF!</v>
      </c>
      <c r="S134" s="10"/>
      <c r="T134" s="40" t="e">
        <f ca="1">P134/J134</f>
        <v>#REF!</v>
      </c>
      <c r="U134" s="8"/>
    </row>
    <row r="135" spans="1:21" ht="15.75" customHeight="1" x14ac:dyDescent="0.25">
      <c r="A135" s="518"/>
      <c r="B135" s="50" t="s">
        <v>11</v>
      </c>
      <c r="C135" s="50"/>
      <c r="D135" s="50"/>
      <c r="E135" s="50"/>
      <c r="F135" s="51"/>
      <c r="G135" s="15"/>
      <c r="H135" s="46">
        <f>SUM(H5+H10+H20+H25+H30+H35+H40+H50)</f>
        <v>104</v>
      </c>
      <c r="I135" s="10"/>
      <c r="J135" s="46" t="e">
        <f ca="1">SUM(J5+J10+J20+J25+J30+J35+J40+J50)</f>
        <v>#REF!</v>
      </c>
      <c r="K135" s="10"/>
      <c r="L135" s="16" t="e">
        <f ca="1">J135/H135</f>
        <v>#REF!</v>
      </c>
      <c r="M135" s="10"/>
      <c r="N135" s="16">
        <f>$F$1</f>
        <v>0.5</v>
      </c>
      <c r="O135" s="8"/>
      <c r="P135" s="46" t="e">
        <f ca="1">SUM(P5+P10+P20+P25+P30+P35+P40+P50)</f>
        <v>#REF!</v>
      </c>
      <c r="Q135" s="10"/>
      <c r="R135" s="16" t="e">
        <f ca="1">P135/J135</f>
        <v>#REF!</v>
      </c>
      <c r="S135" s="10"/>
      <c r="T135" s="40" t="e">
        <f ca="1">P135/J135</f>
        <v>#REF!</v>
      </c>
      <c r="U135" s="8"/>
    </row>
    <row r="136" spans="1:21" ht="15.75" customHeight="1" x14ac:dyDescent="0.25">
      <c r="A136" s="518"/>
      <c r="B136" s="50" t="s">
        <v>12</v>
      </c>
      <c r="C136" s="50"/>
      <c r="D136" s="50"/>
      <c r="E136" s="50"/>
      <c r="F136" s="51"/>
      <c r="G136" s="15"/>
      <c r="H136" s="46">
        <f>SUM(H6+H11+H21+H26+H31+H36+H41+H51)</f>
        <v>80</v>
      </c>
      <c r="I136" s="10"/>
      <c r="J136" s="46" t="e">
        <f ca="1">SUM(J6+J11+J21+J26+J31+J36+J41+J51)</f>
        <v>#REF!</v>
      </c>
      <c r="K136" s="10"/>
      <c r="L136" s="16" t="e">
        <f ca="1">J136/H136</f>
        <v>#REF!</v>
      </c>
      <c r="M136" s="10"/>
      <c r="N136" s="16">
        <f>$F$1</f>
        <v>0.5</v>
      </c>
      <c r="O136" s="8"/>
      <c r="P136" s="46" t="e">
        <f ca="1">SUM(P6+P11+P21+P26+P31+P36+P41+P51)</f>
        <v>#REF!</v>
      </c>
      <c r="Q136" s="10"/>
      <c r="R136" s="16" t="e">
        <f ca="1">P136/J136</f>
        <v>#REF!</v>
      </c>
      <c r="S136" s="10"/>
      <c r="T136" s="40" t="e">
        <f ca="1">P136/J136</f>
        <v>#REF!</v>
      </c>
      <c r="U136" s="8"/>
    </row>
    <row r="137" spans="1:21" ht="15.75" customHeight="1" thickBot="1" x14ac:dyDescent="0.3">
      <c r="A137" s="519"/>
      <c r="B137" s="50" t="s">
        <v>13</v>
      </c>
      <c r="C137" s="50"/>
      <c r="D137" s="50"/>
      <c r="E137" s="50"/>
      <c r="F137" s="51"/>
      <c r="G137" s="8"/>
      <c r="H137" s="46">
        <f>SUM(H134+H135+H136)</f>
        <v>262</v>
      </c>
      <c r="I137" s="10"/>
      <c r="J137" s="46" t="e">
        <f ca="1">SUM(J7+J12+J22+J27+J32+J37+J42+J52)</f>
        <v>#REF!</v>
      </c>
      <c r="K137" s="10"/>
      <c r="L137" s="16" t="e">
        <f ca="1">J137/H137</f>
        <v>#REF!</v>
      </c>
      <c r="M137" s="10"/>
      <c r="N137" s="16">
        <f>$F$1</f>
        <v>0.5</v>
      </c>
      <c r="O137" s="8"/>
      <c r="P137" s="46" t="e">
        <f ca="1">SUM(P7+P12+P22+P27+P32+P37+P42+P52)</f>
        <v>#REF!</v>
      </c>
      <c r="Q137" s="10"/>
      <c r="R137" s="16" t="e">
        <f ca="1">P137/J137</f>
        <v>#REF!</v>
      </c>
      <c r="S137" s="10"/>
      <c r="T137" s="40" t="e">
        <f ca="1">P137/J137</f>
        <v>#REF!</v>
      </c>
      <c r="U137" s="8"/>
    </row>
    <row r="138" spans="1:21" ht="15.75" customHeight="1" thickBot="1" x14ac:dyDescent="0.3">
      <c r="U138" s="8"/>
    </row>
    <row r="139" spans="1:21" ht="15.75" customHeight="1" x14ac:dyDescent="0.25">
      <c r="A139" s="520" t="s">
        <v>40</v>
      </c>
      <c r="B139" s="50" t="s">
        <v>10</v>
      </c>
      <c r="C139" s="50"/>
      <c r="D139" s="50"/>
      <c r="E139" s="50"/>
      <c r="F139" s="51"/>
      <c r="G139" s="15"/>
      <c r="H139" s="46">
        <f>SUM(H14+H44+H54+H124+H129)</f>
        <v>143</v>
      </c>
      <c r="I139" s="10"/>
      <c r="J139" s="46" t="e">
        <f ca="1">SUM(J14+J44+J54+J124+J129)</f>
        <v>#REF!</v>
      </c>
      <c r="K139" s="10"/>
      <c r="L139" s="16" t="e">
        <f ca="1">J139/H139</f>
        <v>#REF!</v>
      </c>
      <c r="M139" s="10"/>
      <c r="N139" s="16">
        <f>$F$1</f>
        <v>0.5</v>
      </c>
      <c r="O139" s="8"/>
      <c r="P139" s="46" t="e">
        <f ca="1">SUM(P14+P44+P54+P124+P129)</f>
        <v>#REF!</v>
      </c>
      <c r="Q139" s="10"/>
      <c r="R139" s="16" t="e">
        <f ca="1">P139/J139</f>
        <v>#REF!</v>
      </c>
      <c r="S139" s="10"/>
      <c r="T139" s="40" t="e">
        <f ca="1">P139/J139</f>
        <v>#REF!</v>
      </c>
      <c r="U139" s="8"/>
    </row>
    <row r="140" spans="1:21" ht="15.75" customHeight="1" x14ac:dyDescent="0.25">
      <c r="A140" s="521"/>
      <c r="B140" s="50" t="s">
        <v>11</v>
      </c>
      <c r="C140" s="50"/>
      <c r="D140" s="50"/>
      <c r="E140" s="50"/>
      <c r="F140" s="51"/>
      <c r="G140" s="15"/>
      <c r="H140" s="46">
        <f>SUM(H15+H45+H55+H125+H130)</f>
        <v>149</v>
      </c>
      <c r="I140" s="10"/>
      <c r="J140" s="46" t="e">
        <f ca="1">SUM(J15+J45+J55+J125+J130)</f>
        <v>#REF!</v>
      </c>
      <c r="K140" s="10"/>
      <c r="L140" s="16" t="e">
        <f ca="1">J140/H140</f>
        <v>#REF!</v>
      </c>
      <c r="M140" s="10"/>
      <c r="N140" s="16">
        <f>$F$1</f>
        <v>0.5</v>
      </c>
      <c r="O140" s="8"/>
      <c r="P140" s="46" t="e">
        <f ca="1">SUM(P15+P45+P55+P125+P130)</f>
        <v>#REF!</v>
      </c>
      <c r="Q140" s="10"/>
      <c r="R140" s="16" t="e">
        <f ca="1">P140/J140</f>
        <v>#REF!</v>
      </c>
      <c r="S140" s="10"/>
      <c r="T140" s="40" t="e">
        <f ca="1">P140/J140</f>
        <v>#REF!</v>
      </c>
      <c r="U140" s="8"/>
    </row>
    <row r="141" spans="1:21" ht="15.75" customHeight="1" x14ac:dyDescent="0.25">
      <c r="A141" s="521"/>
      <c r="B141" s="50" t="s">
        <v>12</v>
      </c>
      <c r="C141" s="50"/>
      <c r="D141" s="50"/>
      <c r="E141" s="50"/>
      <c r="F141" s="51"/>
      <c r="G141" s="15"/>
      <c r="H141" s="46">
        <f>SUM(H16+H46+H56+H126+H131)</f>
        <v>115</v>
      </c>
      <c r="I141" s="10"/>
      <c r="J141" s="46" t="e">
        <f ca="1">SUM(J16+J46+J56+J126+J131)</f>
        <v>#REF!</v>
      </c>
      <c r="K141" s="10"/>
      <c r="L141" s="16" t="e">
        <f ca="1">J141/H141</f>
        <v>#REF!</v>
      </c>
      <c r="M141" s="10"/>
      <c r="N141" s="16">
        <f>$F$1</f>
        <v>0.5</v>
      </c>
      <c r="O141" s="8"/>
      <c r="P141" s="46" t="e">
        <f ca="1">SUM(P16+P46+P56+P126+P131)</f>
        <v>#REF!</v>
      </c>
      <c r="Q141" s="10"/>
      <c r="R141" s="16" t="e">
        <f ca="1">P141/J141</f>
        <v>#REF!</v>
      </c>
      <c r="S141" s="10"/>
      <c r="T141" s="40" t="e">
        <f ca="1">P141/J141</f>
        <v>#REF!</v>
      </c>
      <c r="U141" s="8"/>
    </row>
    <row r="142" spans="1:21" ht="15.75" customHeight="1" thickBot="1" x14ac:dyDescent="0.3">
      <c r="A142" s="522"/>
      <c r="B142" s="50" t="s">
        <v>13</v>
      </c>
      <c r="C142" s="50"/>
      <c r="D142" s="50"/>
      <c r="E142" s="50"/>
      <c r="F142" s="51"/>
      <c r="G142" s="8"/>
      <c r="H142" s="46">
        <f>SUM(H139+H140+H141)</f>
        <v>407</v>
      </c>
      <c r="I142" s="10"/>
      <c r="J142" s="46" t="e">
        <f ca="1">SUM(J139+J140+J141)</f>
        <v>#REF!</v>
      </c>
      <c r="K142" s="10"/>
      <c r="L142" s="16" t="e">
        <f ca="1">J142/H142</f>
        <v>#REF!</v>
      </c>
      <c r="M142" s="10"/>
      <c r="N142" s="16">
        <f>$F$1</f>
        <v>0.5</v>
      </c>
      <c r="O142" s="8"/>
      <c r="P142" s="46" t="e">
        <f ca="1">SUM(P139+P140+P141)</f>
        <v>#REF!</v>
      </c>
      <c r="Q142" s="10"/>
      <c r="R142" s="16" t="e">
        <f ca="1">P142/J142</f>
        <v>#REF!</v>
      </c>
      <c r="S142" s="10"/>
      <c r="T142" s="40" t="e">
        <f ca="1">P142/J142</f>
        <v>#REF!</v>
      </c>
      <c r="U142" s="8"/>
    </row>
    <row r="143" spans="1:21" ht="15.75" thickBot="1" x14ac:dyDescent="0.3"/>
    <row r="144" spans="1:21" ht="15.75" x14ac:dyDescent="0.25">
      <c r="A144" s="523" t="s">
        <v>41</v>
      </c>
      <c r="B144" s="50" t="s">
        <v>10</v>
      </c>
      <c r="C144" s="50"/>
      <c r="D144" s="50"/>
      <c r="E144" s="50"/>
      <c r="F144" s="51"/>
      <c r="G144" s="15"/>
      <c r="H144" s="46">
        <f>SUM(H59+H69+H74+H79+H84)</f>
        <v>197</v>
      </c>
      <c r="I144" s="10"/>
      <c r="J144" s="46" t="e">
        <f ca="1">SUM(J59+J69+J74+J79+J84)</f>
        <v>#REF!</v>
      </c>
      <c r="K144" s="10"/>
      <c r="L144" s="16" t="e">
        <f ca="1">J144/H144</f>
        <v>#REF!</v>
      </c>
      <c r="M144" s="10"/>
      <c r="N144" s="16">
        <f>$F$1</f>
        <v>0.5</v>
      </c>
      <c r="O144" s="8"/>
      <c r="P144" s="46" t="e">
        <f ca="1">SUM(P59+P69+P74+P79+P84)</f>
        <v>#REF!</v>
      </c>
      <c r="Q144" s="10"/>
      <c r="R144" s="16" t="e">
        <f ca="1">P144/J144</f>
        <v>#REF!</v>
      </c>
      <c r="S144" s="10"/>
      <c r="T144" s="40" t="e">
        <f ca="1">P144/J144</f>
        <v>#REF!</v>
      </c>
    </row>
    <row r="145" spans="1:20" ht="15.75" x14ac:dyDescent="0.25">
      <c r="A145" s="524"/>
      <c r="B145" s="50" t="s">
        <v>11</v>
      </c>
      <c r="C145" s="50"/>
      <c r="D145" s="50"/>
      <c r="E145" s="50"/>
      <c r="F145" s="51"/>
      <c r="G145" s="15"/>
      <c r="H145" s="46">
        <f>SUM(H60+H70+H75+H80+H85)</f>
        <v>197</v>
      </c>
      <c r="I145" s="10"/>
      <c r="J145" s="46" t="e">
        <f ca="1">SUM(J60+J70+J75+J80+J85)</f>
        <v>#REF!</v>
      </c>
      <c r="K145" s="10"/>
      <c r="L145" s="16" t="e">
        <f ca="1">J145/H145</f>
        <v>#REF!</v>
      </c>
      <c r="M145" s="10"/>
      <c r="N145" s="16">
        <f>$F$1</f>
        <v>0.5</v>
      </c>
      <c r="O145" s="8"/>
      <c r="P145" s="46" t="e">
        <f ca="1">SUM(P60+P70+P75+P80+P85)</f>
        <v>#REF!</v>
      </c>
      <c r="Q145" s="10"/>
      <c r="R145" s="16" t="e">
        <f ca="1">P145/J145</f>
        <v>#REF!</v>
      </c>
      <c r="S145" s="10"/>
      <c r="T145" s="40" t="e">
        <f ca="1">P145/J145</f>
        <v>#REF!</v>
      </c>
    </row>
    <row r="146" spans="1:20" ht="15.75" x14ac:dyDescent="0.25">
      <c r="A146" s="524"/>
      <c r="B146" s="50" t="s">
        <v>12</v>
      </c>
      <c r="C146" s="50"/>
      <c r="D146" s="50"/>
      <c r="E146" s="50"/>
      <c r="F146" s="51"/>
      <c r="G146" s="15"/>
      <c r="H146" s="46">
        <f>SUM(H61+H71+H76+H81+H86)</f>
        <v>189</v>
      </c>
      <c r="I146" s="10"/>
      <c r="J146" s="46" t="e">
        <f ca="1">SUM(J61+J71+J76+J81+J86)</f>
        <v>#REF!</v>
      </c>
      <c r="K146" s="10"/>
      <c r="L146" s="16" t="e">
        <f ca="1">J146/H146</f>
        <v>#REF!</v>
      </c>
      <c r="M146" s="10"/>
      <c r="N146" s="16">
        <f>$F$1</f>
        <v>0.5</v>
      </c>
      <c r="O146" s="8"/>
      <c r="P146" s="46" t="e">
        <f ca="1">SUM(P61+P71+P76+P81+P86)</f>
        <v>#REF!</v>
      </c>
      <c r="Q146" s="10"/>
      <c r="R146" s="16" t="e">
        <f ca="1">P146/J146</f>
        <v>#REF!</v>
      </c>
      <c r="S146" s="10"/>
      <c r="T146" s="40" t="e">
        <f ca="1">P146/J146</f>
        <v>#REF!</v>
      </c>
    </row>
    <row r="147" spans="1:20" ht="15.75" thickBot="1" x14ac:dyDescent="0.3">
      <c r="A147" s="525"/>
      <c r="B147" s="50" t="s">
        <v>13</v>
      </c>
      <c r="C147" s="50"/>
      <c r="D147" s="50"/>
      <c r="E147" s="50"/>
      <c r="F147" s="51"/>
      <c r="G147" s="8"/>
      <c r="H147" s="46">
        <f>SUM(H144+H145+H146)</f>
        <v>583</v>
      </c>
      <c r="I147" s="10"/>
      <c r="J147" s="46" t="e">
        <f ca="1">SUM(J144+J145+J146)</f>
        <v>#REF!</v>
      </c>
      <c r="K147" s="10"/>
      <c r="L147" s="16" t="e">
        <f ca="1">J147/H147</f>
        <v>#REF!</v>
      </c>
      <c r="M147" s="10"/>
      <c r="N147" s="16">
        <f>$F$1</f>
        <v>0.5</v>
      </c>
      <c r="O147" s="8"/>
      <c r="P147" s="46" t="e">
        <f ca="1">SUM(P144+P145+P146)</f>
        <v>#REF!</v>
      </c>
      <c r="Q147" s="10"/>
      <c r="R147" s="16" t="e">
        <f ca="1">P147/J147</f>
        <v>#REF!</v>
      </c>
      <c r="S147" s="10"/>
      <c r="T147" s="40" t="e">
        <f ca="1">P147/J147</f>
        <v>#REF!</v>
      </c>
    </row>
    <row r="148" spans="1:20" ht="15.75" thickBot="1" x14ac:dyDescent="0.3"/>
    <row r="149" spans="1:20" ht="15.75" x14ac:dyDescent="0.25">
      <c r="A149" s="526" t="s">
        <v>42</v>
      </c>
      <c r="B149" s="50" t="s">
        <v>10</v>
      </c>
      <c r="C149" s="50"/>
      <c r="D149" s="50"/>
      <c r="E149" s="50"/>
      <c r="F149" s="51"/>
      <c r="G149" s="15"/>
      <c r="H149" s="46">
        <f>SUM(H89+H94+H99+H104+H109+H114+H119)</f>
        <v>264</v>
      </c>
      <c r="I149" s="10"/>
      <c r="J149" s="46" t="e">
        <f ca="1">SUM(J89+J94+J99+J104+J109+J114+J119)</f>
        <v>#REF!</v>
      </c>
      <c r="K149" s="10"/>
      <c r="L149" s="16" t="e">
        <f ca="1">J149/H149</f>
        <v>#REF!</v>
      </c>
      <c r="M149" s="10"/>
      <c r="N149" s="16">
        <f>$F$1</f>
        <v>0.5</v>
      </c>
      <c r="O149" s="8"/>
      <c r="P149" s="46" t="e">
        <f ca="1">SUM(P89+P94+P99+P104+P109+P114+P119)</f>
        <v>#REF!</v>
      </c>
      <c r="Q149" s="10"/>
      <c r="R149" s="16" t="e">
        <f ca="1">P149/J149</f>
        <v>#REF!</v>
      </c>
      <c r="S149" s="10"/>
      <c r="T149" s="40" t="e">
        <f ca="1">P149/J149</f>
        <v>#REF!</v>
      </c>
    </row>
    <row r="150" spans="1:20" ht="15.75" x14ac:dyDescent="0.25">
      <c r="A150" s="527"/>
      <c r="B150" s="50" t="s">
        <v>11</v>
      </c>
      <c r="C150" s="50"/>
      <c r="D150" s="50"/>
      <c r="E150" s="50"/>
      <c r="F150" s="51"/>
      <c r="G150" s="15"/>
      <c r="H150" s="46">
        <f>SUM(H90+H95+H100+H105+H110+H115+H120)</f>
        <v>264</v>
      </c>
      <c r="I150" s="10"/>
      <c r="J150" s="46" t="e">
        <f ca="1">SUM(J90+J95+J100+J105+J110+J115+J120)</f>
        <v>#REF!</v>
      </c>
      <c r="K150" s="10"/>
      <c r="L150" s="16" t="e">
        <f ca="1">J150/H150</f>
        <v>#REF!</v>
      </c>
      <c r="M150" s="10"/>
      <c r="N150" s="16">
        <f>$F$1</f>
        <v>0.5</v>
      </c>
      <c r="O150" s="8"/>
      <c r="P150" s="46" t="e">
        <f ca="1">SUM(P90+P95+P100+P105+P110+P115+P120)</f>
        <v>#REF!</v>
      </c>
      <c r="Q150" s="10"/>
      <c r="R150" s="16" t="e">
        <f ca="1">P150/J150</f>
        <v>#REF!</v>
      </c>
      <c r="S150" s="10"/>
      <c r="T150" s="40" t="e">
        <f ca="1">P150/J150</f>
        <v>#REF!</v>
      </c>
    </row>
    <row r="151" spans="1:20" ht="15.75" x14ac:dyDescent="0.25">
      <c r="A151" s="527"/>
      <c r="B151" s="50" t="s">
        <v>12</v>
      </c>
      <c r="C151" s="50"/>
      <c r="D151" s="50"/>
      <c r="E151" s="50"/>
      <c r="F151" s="51"/>
      <c r="G151" s="15"/>
      <c r="H151" s="46">
        <f>SUM(H91+H96+H101+H106+H111+H116+H121)</f>
        <v>260</v>
      </c>
      <c r="I151" s="10"/>
      <c r="J151" s="46" t="e">
        <f ca="1">SUM(J91+J96+J101+J106+J111+J116+J121)</f>
        <v>#REF!</v>
      </c>
      <c r="K151" s="10"/>
      <c r="L151" s="16" t="e">
        <f ca="1">J151/H151</f>
        <v>#REF!</v>
      </c>
      <c r="M151" s="10"/>
      <c r="N151" s="16">
        <f>$F$1</f>
        <v>0.5</v>
      </c>
      <c r="O151" s="8"/>
      <c r="P151" s="46" t="e">
        <f ca="1">SUM(P91+P96+P101+P106+P111+P116+P121)</f>
        <v>#REF!</v>
      </c>
      <c r="Q151" s="10"/>
      <c r="R151" s="16" t="e">
        <f ca="1">P151/J151</f>
        <v>#REF!</v>
      </c>
      <c r="S151" s="10"/>
      <c r="T151" s="40" t="e">
        <f ca="1">P151/J151</f>
        <v>#REF!</v>
      </c>
    </row>
    <row r="152" spans="1:20" ht="15.75" thickBot="1" x14ac:dyDescent="0.3">
      <c r="A152" s="528"/>
      <c r="B152" s="50" t="s">
        <v>13</v>
      </c>
      <c r="C152" s="50"/>
      <c r="D152" s="50"/>
      <c r="E152" s="50"/>
      <c r="F152" s="51"/>
      <c r="G152" s="8"/>
      <c r="H152" s="46">
        <f>SUM(H149+H150+H151)</f>
        <v>788</v>
      </c>
      <c r="I152" s="10"/>
      <c r="J152" s="46" t="e">
        <f ca="1">SUM(J149+J150+J151)</f>
        <v>#REF!</v>
      </c>
      <c r="K152" s="10"/>
      <c r="L152" s="16" t="e">
        <f ca="1">J152/H152</f>
        <v>#REF!</v>
      </c>
      <c r="M152" s="10"/>
      <c r="N152" s="16">
        <f>$F$1</f>
        <v>0.5</v>
      </c>
      <c r="O152" s="8"/>
      <c r="P152" s="46" t="e">
        <f ca="1">SUM(P149+P150+P151)</f>
        <v>#REF!</v>
      </c>
      <c r="Q152" s="10"/>
      <c r="R152" s="16" t="e">
        <f ca="1">P152/J152</f>
        <v>#REF!</v>
      </c>
      <c r="S152" s="10"/>
      <c r="T152" s="40" t="e">
        <f ca="1">P152/J152</f>
        <v>#REF!</v>
      </c>
    </row>
    <row r="153" spans="1:20" ht="15.75" thickBot="1" x14ac:dyDescent="0.3"/>
    <row r="154" spans="1:20" ht="29.25" customHeight="1" thickBot="1" x14ac:dyDescent="0.3">
      <c r="E154" s="149" t="s">
        <v>43</v>
      </c>
      <c r="F154" s="150"/>
      <c r="H154" s="151">
        <f>SUM(H137+H142+H148+H152)</f>
        <v>1457</v>
      </c>
      <c r="J154" s="151" t="e">
        <f ca="1">SUM(J137+J142+J147+J152)</f>
        <v>#REF!</v>
      </c>
      <c r="L154" s="152" t="e">
        <f ca="1">SUM(J154/H154)</f>
        <v>#REF!</v>
      </c>
      <c r="N154" s="16">
        <f>$F$1</f>
        <v>0.5</v>
      </c>
      <c r="P154" s="151" t="e">
        <f ca="1">SUM(P137+P142+P147+P152)</f>
        <v>#REF!</v>
      </c>
      <c r="R154" s="152" t="e">
        <f ca="1">P154/J154</f>
        <v>#REF!</v>
      </c>
      <c r="T154" s="153" t="e">
        <f ca="1">P154/J154</f>
        <v>#REF!</v>
      </c>
    </row>
  </sheetData>
  <mergeCells count="134">
    <mergeCell ref="A4:A7"/>
    <mergeCell ref="B4:F4"/>
    <mergeCell ref="B5:F5"/>
    <mergeCell ref="B6:F6"/>
    <mergeCell ref="B7:F7"/>
    <mergeCell ref="A9:A12"/>
    <mergeCell ref="B9:F9"/>
    <mergeCell ref="B10:F10"/>
    <mergeCell ref="B11:F11"/>
    <mergeCell ref="B12:F12"/>
    <mergeCell ref="A14:A17"/>
    <mergeCell ref="B14:F14"/>
    <mergeCell ref="B15:F15"/>
    <mergeCell ref="B16:F16"/>
    <mergeCell ref="B17:F17"/>
    <mergeCell ref="A19:A22"/>
    <mergeCell ref="B19:F19"/>
    <mergeCell ref="B20:F20"/>
    <mergeCell ref="B21:F21"/>
    <mergeCell ref="B22:F22"/>
    <mergeCell ref="A24:A27"/>
    <mergeCell ref="B24:F24"/>
    <mergeCell ref="B25:F25"/>
    <mergeCell ref="B26:F26"/>
    <mergeCell ref="B27:F27"/>
    <mergeCell ref="A29:A32"/>
    <mergeCell ref="B29:F29"/>
    <mergeCell ref="B30:F30"/>
    <mergeCell ref="B31:F31"/>
    <mergeCell ref="B32:F32"/>
    <mergeCell ref="A34:A37"/>
    <mergeCell ref="B34:F34"/>
    <mergeCell ref="B35:F35"/>
    <mergeCell ref="B36:F36"/>
    <mergeCell ref="B37:F37"/>
    <mergeCell ref="A39:A42"/>
    <mergeCell ref="B39:F39"/>
    <mergeCell ref="B40:F40"/>
    <mergeCell ref="B41:F41"/>
    <mergeCell ref="B42:F42"/>
    <mergeCell ref="A44:A47"/>
    <mergeCell ref="B44:F44"/>
    <mergeCell ref="B45:F45"/>
    <mergeCell ref="B46:F46"/>
    <mergeCell ref="B47:F47"/>
    <mergeCell ref="A49:A52"/>
    <mergeCell ref="B49:F49"/>
    <mergeCell ref="B50:F50"/>
    <mergeCell ref="B51:F51"/>
    <mergeCell ref="B52:F52"/>
    <mergeCell ref="A54:A57"/>
    <mergeCell ref="B54:F54"/>
    <mergeCell ref="B55:F55"/>
    <mergeCell ref="B56:F56"/>
    <mergeCell ref="B57:F57"/>
    <mergeCell ref="A59:A62"/>
    <mergeCell ref="B59:F59"/>
    <mergeCell ref="B60:F60"/>
    <mergeCell ref="B61:F61"/>
    <mergeCell ref="B62:F62"/>
    <mergeCell ref="A64:A67"/>
    <mergeCell ref="B64:F64"/>
    <mergeCell ref="B65:F65"/>
    <mergeCell ref="B66:F66"/>
    <mergeCell ref="B67:F67"/>
    <mergeCell ref="A69:A72"/>
    <mergeCell ref="B69:F69"/>
    <mergeCell ref="B70:F70"/>
    <mergeCell ref="B71:F71"/>
    <mergeCell ref="B72:F72"/>
    <mergeCell ref="A74:A77"/>
    <mergeCell ref="B74:F74"/>
    <mergeCell ref="B75:F75"/>
    <mergeCell ref="B76:F76"/>
    <mergeCell ref="B77:F77"/>
    <mergeCell ref="A79:A82"/>
    <mergeCell ref="B79:F79"/>
    <mergeCell ref="B80:F80"/>
    <mergeCell ref="B81:F81"/>
    <mergeCell ref="B82:F82"/>
    <mergeCell ref="A84:A87"/>
    <mergeCell ref="B84:F84"/>
    <mergeCell ref="B85:F85"/>
    <mergeCell ref="B86:F86"/>
    <mergeCell ref="B87:F87"/>
    <mergeCell ref="A89:A92"/>
    <mergeCell ref="B89:F89"/>
    <mergeCell ref="B90:F90"/>
    <mergeCell ref="B91:F91"/>
    <mergeCell ref="B92:F92"/>
    <mergeCell ref="A94:A97"/>
    <mergeCell ref="B94:F94"/>
    <mergeCell ref="B95:F95"/>
    <mergeCell ref="B96:F96"/>
    <mergeCell ref="B97:F97"/>
    <mergeCell ref="A99:A102"/>
    <mergeCell ref="B99:F99"/>
    <mergeCell ref="B100:F100"/>
    <mergeCell ref="B101:F101"/>
    <mergeCell ref="B102:F102"/>
    <mergeCell ref="A104:A107"/>
    <mergeCell ref="B104:F104"/>
    <mergeCell ref="B105:F105"/>
    <mergeCell ref="B106:F106"/>
    <mergeCell ref="B107:F107"/>
    <mergeCell ref="A109:A112"/>
    <mergeCell ref="B109:F109"/>
    <mergeCell ref="B110:F110"/>
    <mergeCell ref="B111:F111"/>
    <mergeCell ref="B112:F112"/>
    <mergeCell ref="A114:A117"/>
    <mergeCell ref="B114:F114"/>
    <mergeCell ref="B115:F115"/>
    <mergeCell ref="B116:F116"/>
    <mergeCell ref="B117:F117"/>
    <mergeCell ref="A119:A122"/>
    <mergeCell ref="B119:F119"/>
    <mergeCell ref="B120:F120"/>
    <mergeCell ref="B121:F121"/>
    <mergeCell ref="B122:F122"/>
    <mergeCell ref="A134:A137"/>
    <mergeCell ref="A139:A142"/>
    <mergeCell ref="A144:A147"/>
    <mergeCell ref="A149:A152"/>
    <mergeCell ref="A124:A127"/>
    <mergeCell ref="B124:F124"/>
    <mergeCell ref="B125:F125"/>
    <mergeCell ref="B126:F126"/>
    <mergeCell ref="B127:F127"/>
    <mergeCell ref="A129:A132"/>
    <mergeCell ref="B129:F129"/>
    <mergeCell ref="B130:F130"/>
    <mergeCell ref="B131:F131"/>
    <mergeCell ref="B132:F132"/>
  </mergeCells>
  <conditionalFormatting sqref="N44:N47">
    <cfRule type="expression" dxfId="92" priority="80" stopIfTrue="1">
      <formula>L44&lt;N44</formula>
    </cfRule>
    <cfRule type="expression" dxfId="91" priority="81" stopIfTrue="1">
      <formula>L44&gt;=N44</formula>
    </cfRule>
  </conditionalFormatting>
  <conditionalFormatting sqref="N14:N17">
    <cfRule type="expression" dxfId="90" priority="92" stopIfTrue="1">
      <formula>L14&lt;N14</formula>
    </cfRule>
    <cfRule type="expression" dxfId="89" priority="93" stopIfTrue="1">
      <formula>L14&gt;=N14</formula>
    </cfRule>
  </conditionalFormatting>
  <conditionalFormatting sqref="N19:N22">
    <cfRule type="expression" dxfId="88" priority="90" stopIfTrue="1">
      <formula>L19&lt;N19</formula>
    </cfRule>
    <cfRule type="expression" dxfId="87" priority="91" stopIfTrue="1">
      <formula>L19&gt;=N19</formula>
    </cfRule>
  </conditionalFormatting>
  <conditionalFormatting sqref="N24:N27">
    <cfRule type="expression" dxfId="86" priority="88" stopIfTrue="1">
      <formula>L24&lt;N24</formula>
    </cfRule>
    <cfRule type="expression" dxfId="85" priority="89" stopIfTrue="1">
      <formula>L24&gt;=N24</formula>
    </cfRule>
  </conditionalFormatting>
  <conditionalFormatting sqref="N29:N32">
    <cfRule type="expression" dxfId="84" priority="86" stopIfTrue="1">
      <formula>L29&lt;N29</formula>
    </cfRule>
    <cfRule type="expression" dxfId="83" priority="87" stopIfTrue="1">
      <formula>L29&gt;=N29</formula>
    </cfRule>
  </conditionalFormatting>
  <conditionalFormatting sqref="N34:N37">
    <cfRule type="expression" dxfId="82" priority="84" stopIfTrue="1">
      <formula>L34&lt;N34</formula>
    </cfRule>
    <cfRule type="expression" dxfId="81" priority="85" stopIfTrue="1">
      <formula>L34&gt;=N34</formula>
    </cfRule>
  </conditionalFormatting>
  <conditionalFormatting sqref="N39:N42">
    <cfRule type="expression" dxfId="80" priority="82" stopIfTrue="1">
      <formula>L39&lt;N39</formula>
    </cfRule>
    <cfRule type="expression" dxfId="79" priority="83" stopIfTrue="1">
      <formula>L39&gt;=N39</formula>
    </cfRule>
  </conditionalFormatting>
  <conditionalFormatting sqref="N9:N12">
    <cfRule type="expression" dxfId="78" priority="78" stopIfTrue="1">
      <formula>L9&lt;N9</formula>
    </cfRule>
    <cfRule type="expression" dxfId="77" priority="79" stopIfTrue="1">
      <formula>L9&gt;=N9</formula>
    </cfRule>
  </conditionalFormatting>
  <conditionalFormatting sqref="T39:T42">
    <cfRule type="cellIs" dxfId="76" priority="70" stopIfTrue="1" operator="between">
      <formula>90%</formula>
      <formula>100%</formula>
    </cfRule>
  </conditionalFormatting>
  <conditionalFormatting sqref="T9:T12">
    <cfRule type="cellIs" dxfId="75" priority="77" stopIfTrue="1" operator="between">
      <formula>90%</formula>
      <formula>100%</formula>
    </cfRule>
  </conditionalFormatting>
  <conditionalFormatting sqref="T14:T17">
    <cfRule type="cellIs" dxfId="74" priority="76" stopIfTrue="1" operator="between">
      <formula>90%</formula>
      <formula>100%</formula>
    </cfRule>
  </conditionalFormatting>
  <conditionalFormatting sqref="T19:T22">
    <cfRule type="cellIs" dxfId="73" priority="75" stopIfTrue="1" operator="between">
      <formula>90%</formula>
      <formula>100%</formula>
    </cfRule>
  </conditionalFormatting>
  <conditionalFormatting sqref="T24:T27">
    <cfRule type="cellIs" dxfId="72" priority="74" stopIfTrue="1" operator="between">
      <formula>90%</formula>
      <formula>100%</formula>
    </cfRule>
  </conditionalFormatting>
  <conditionalFormatting sqref="T29:T32">
    <cfRule type="cellIs" dxfId="71" priority="73" stopIfTrue="1" operator="between">
      <formula>90%</formula>
      <formula>100%</formula>
    </cfRule>
  </conditionalFormatting>
  <conditionalFormatting sqref="T34:T37">
    <cfRule type="cellIs" dxfId="70" priority="72" stopIfTrue="1" operator="between">
      <formula>90%</formula>
      <formula>100%</formula>
    </cfRule>
  </conditionalFormatting>
  <conditionalFormatting sqref="T4:T7">
    <cfRule type="cellIs" dxfId="69" priority="34" stopIfTrue="1" operator="between">
      <formula>90%</formula>
      <formula>100%</formula>
    </cfRule>
  </conditionalFormatting>
  <conditionalFormatting sqref="T44:T47">
    <cfRule type="cellIs" dxfId="68" priority="71" stopIfTrue="1" operator="between">
      <formula>90%</formula>
      <formula>100%</formula>
    </cfRule>
  </conditionalFormatting>
  <conditionalFormatting sqref="T144:T147">
    <cfRule type="cellIs" dxfId="67" priority="43" stopIfTrue="1" operator="between">
      <formula>90%</formula>
      <formula>100%</formula>
    </cfRule>
  </conditionalFormatting>
  <conditionalFormatting sqref="N54:N57">
    <cfRule type="expression" dxfId="66" priority="65" stopIfTrue="1">
      <formula>L54&lt;N54</formula>
    </cfRule>
    <cfRule type="expression" dxfId="65" priority="66" stopIfTrue="1">
      <formula>L54&gt;=N54</formula>
    </cfRule>
  </conditionalFormatting>
  <conditionalFormatting sqref="T54:T57">
    <cfRule type="cellIs" dxfId="64" priority="64" stopIfTrue="1" operator="between">
      <formula>90%</formula>
      <formula>100%</formula>
    </cfRule>
  </conditionalFormatting>
  <conditionalFormatting sqref="T49:T52">
    <cfRule type="cellIs" dxfId="63" priority="67" stopIfTrue="1" operator="between">
      <formula>90%</formula>
      <formula>100%</formula>
    </cfRule>
  </conditionalFormatting>
  <conditionalFormatting sqref="N49:N52">
    <cfRule type="expression" dxfId="62" priority="68" stopIfTrue="1">
      <formula>L49&lt;N49</formula>
    </cfRule>
    <cfRule type="expression" dxfId="61" priority="69" stopIfTrue="1">
      <formula>L49&gt;=N49</formula>
    </cfRule>
  </conditionalFormatting>
  <conditionalFormatting sqref="T69:T72">
    <cfRule type="cellIs" dxfId="60" priority="61" stopIfTrue="1" operator="between">
      <formula>90%</formula>
      <formula>100%</formula>
    </cfRule>
  </conditionalFormatting>
  <conditionalFormatting sqref="T59:T62">
    <cfRule type="cellIs" dxfId="59" priority="55" stopIfTrue="1" operator="between">
      <formula>90%</formula>
      <formula>100%</formula>
    </cfRule>
  </conditionalFormatting>
  <conditionalFormatting sqref="N69:N72">
    <cfRule type="expression" dxfId="58" priority="62" stopIfTrue="1">
      <formula>L69&lt;N69</formula>
    </cfRule>
    <cfRule type="expression" dxfId="57" priority="63" stopIfTrue="1">
      <formula>L69&gt;=N69</formula>
    </cfRule>
  </conditionalFormatting>
  <conditionalFormatting sqref="T74:T77">
    <cfRule type="cellIs" dxfId="56" priority="58" stopIfTrue="1" operator="between">
      <formula>90%</formula>
      <formula>100%</formula>
    </cfRule>
  </conditionalFormatting>
  <conditionalFormatting sqref="N74:N77">
    <cfRule type="expression" dxfId="55" priority="59" stopIfTrue="1">
      <formula>L74&lt;N74</formula>
    </cfRule>
    <cfRule type="expression" dxfId="54" priority="60" stopIfTrue="1">
      <formula>L74&gt;=N74</formula>
    </cfRule>
  </conditionalFormatting>
  <conditionalFormatting sqref="N59:N62">
    <cfRule type="expression" dxfId="53" priority="56" stopIfTrue="1">
      <formula>L59&lt;N59</formula>
    </cfRule>
    <cfRule type="expression" dxfId="52" priority="57" stopIfTrue="1">
      <formula>L59&gt;=N59</formula>
    </cfRule>
  </conditionalFormatting>
  <conditionalFormatting sqref="N64:N67">
    <cfRule type="expression" dxfId="51" priority="53" stopIfTrue="1">
      <formula>L64&lt;N64</formula>
    </cfRule>
    <cfRule type="expression" dxfId="50" priority="54" stopIfTrue="1">
      <formula>L64&gt;=N64</formula>
    </cfRule>
  </conditionalFormatting>
  <conditionalFormatting sqref="T64:T67">
    <cfRule type="cellIs" dxfId="49" priority="52" stopIfTrue="1" operator="between">
      <formula>90%</formula>
      <formula>100%</formula>
    </cfRule>
  </conditionalFormatting>
  <conditionalFormatting sqref="T79:T82">
    <cfRule type="cellIs" dxfId="48" priority="49" stopIfTrue="1" operator="between">
      <formula>90%</formula>
      <formula>100%</formula>
    </cfRule>
  </conditionalFormatting>
  <conditionalFormatting sqref="N79:N82">
    <cfRule type="expression" dxfId="47" priority="50" stopIfTrue="1">
      <formula>L79&lt;N79</formula>
    </cfRule>
    <cfRule type="expression" dxfId="46" priority="51" stopIfTrue="1">
      <formula>L79&gt;=N79</formula>
    </cfRule>
  </conditionalFormatting>
  <conditionalFormatting sqref="T84:T87">
    <cfRule type="cellIs" dxfId="45" priority="46" stopIfTrue="1" operator="between">
      <formula>90%</formula>
      <formula>100%</formula>
    </cfRule>
  </conditionalFormatting>
  <conditionalFormatting sqref="N84:N87">
    <cfRule type="expression" dxfId="44" priority="47" stopIfTrue="1">
      <formula>L84&lt;N84</formula>
    </cfRule>
    <cfRule type="expression" dxfId="43" priority="48" stopIfTrue="1">
      <formula>L84&gt;=N84</formula>
    </cfRule>
  </conditionalFormatting>
  <conditionalFormatting sqref="N144:N147">
    <cfRule type="expression" dxfId="42" priority="44" stopIfTrue="1">
      <formula>L144&lt;N144</formula>
    </cfRule>
    <cfRule type="expression" dxfId="41" priority="45" stopIfTrue="1">
      <formula>L144&gt;=N144</formula>
    </cfRule>
  </conditionalFormatting>
  <conditionalFormatting sqref="T154">
    <cfRule type="cellIs" dxfId="40" priority="37" stopIfTrue="1" operator="between">
      <formula>90%</formula>
      <formula>100%</formula>
    </cfRule>
  </conditionalFormatting>
  <conditionalFormatting sqref="N149:N152">
    <cfRule type="expression" dxfId="39" priority="41" stopIfTrue="1">
      <formula>L149&lt;N149</formula>
    </cfRule>
    <cfRule type="expression" dxfId="38" priority="42" stopIfTrue="1">
      <formula>L149&gt;=N149</formula>
    </cfRule>
  </conditionalFormatting>
  <conditionalFormatting sqref="T149:T152">
    <cfRule type="cellIs" dxfId="37" priority="40" stopIfTrue="1" operator="between">
      <formula>90%</formula>
      <formula>100%</formula>
    </cfRule>
  </conditionalFormatting>
  <conditionalFormatting sqref="N154">
    <cfRule type="expression" dxfId="36" priority="38" stopIfTrue="1">
      <formula>L154&lt;N154</formula>
    </cfRule>
    <cfRule type="expression" dxfId="35" priority="39" stopIfTrue="1">
      <formula>L154&gt;=N154</formula>
    </cfRule>
  </conditionalFormatting>
  <conditionalFormatting sqref="N4:N7">
    <cfRule type="expression" dxfId="34" priority="35" stopIfTrue="1">
      <formula>L4&lt;N4</formula>
    </cfRule>
    <cfRule type="expression" dxfId="33" priority="36" stopIfTrue="1">
      <formula>L4&gt;=N4</formula>
    </cfRule>
  </conditionalFormatting>
  <conditionalFormatting sqref="T89:T92">
    <cfRule type="cellIs" dxfId="32" priority="31" stopIfTrue="1" operator="between">
      <formula>90%</formula>
      <formula>100%</formula>
    </cfRule>
  </conditionalFormatting>
  <conditionalFormatting sqref="N89:N92">
    <cfRule type="expression" dxfId="31" priority="32" stopIfTrue="1">
      <formula>L89&lt;N89</formula>
    </cfRule>
    <cfRule type="expression" dxfId="30" priority="33" stopIfTrue="1">
      <formula>L89&gt;=N89</formula>
    </cfRule>
  </conditionalFormatting>
  <conditionalFormatting sqref="T94:T97">
    <cfRule type="cellIs" dxfId="29" priority="28" stopIfTrue="1" operator="between">
      <formula>90%</formula>
      <formula>100%</formula>
    </cfRule>
  </conditionalFormatting>
  <conditionalFormatting sqref="N94:N97">
    <cfRule type="expression" dxfId="28" priority="29" stopIfTrue="1">
      <formula>L94&lt;N94</formula>
    </cfRule>
    <cfRule type="expression" dxfId="27" priority="30" stopIfTrue="1">
      <formula>L94&gt;=N94</formula>
    </cfRule>
  </conditionalFormatting>
  <conditionalFormatting sqref="T99:T102">
    <cfRule type="cellIs" dxfId="26" priority="25" stopIfTrue="1" operator="between">
      <formula>90%</formula>
      <formula>100%</formula>
    </cfRule>
  </conditionalFormatting>
  <conditionalFormatting sqref="N99:N102">
    <cfRule type="expression" dxfId="25" priority="26" stopIfTrue="1">
      <formula>L99&lt;N99</formula>
    </cfRule>
    <cfRule type="expression" dxfId="24" priority="27" stopIfTrue="1">
      <formula>L99&gt;=N99</formula>
    </cfRule>
  </conditionalFormatting>
  <conditionalFormatting sqref="T104:T107">
    <cfRule type="cellIs" dxfId="23" priority="22" stopIfTrue="1" operator="between">
      <formula>90%</formula>
      <formula>100%</formula>
    </cfRule>
  </conditionalFormatting>
  <conditionalFormatting sqref="N104:N107">
    <cfRule type="expression" dxfId="22" priority="23" stopIfTrue="1">
      <formula>L104&lt;N104</formula>
    </cfRule>
    <cfRule type="expression" dxfId="21" priority="24" stopIfTrue="1">
      <formula>L104&gt;=N104</formula>
    </cfRule>
  </conditionalFormatting>
  <conditionalFormatting sqref="T109:T112">
    <cfRule type="cellIs" dxfId="20" priority="19" stopIfTrue="1" operator="between">
      <formula>90%</formula>
      <formula>100%</formula>
    </cfRule>
  </conditionalFormatting>
  <conditionalFormatting sqref="N109:N112">
    <cfRule type="expression" dxfId="19" priority="20" stopIfTrue="1">
      <formula>L109&lt;N109</formula>
    </cfRule>
    <cfRule type="expression" dxfId="18" priority="21" stopIfTrue="1">
      <formula>L109&gt;=N109</formula>
    </cfRule>
  </conditionalFormatting>
  <conditionalFormatting sqref="T114:T117">
    <cfRule type="cellIs" dxfId="17" priority="16" stopIfTrue="1" operator="between">
      <formula>90%</formula>
      <formula>100%</formula>
    </cfRule>
  </conditionalFormatting>
  <conditionalFormatting sqref="N114:N117">
    <cfRule type="expression" dxfId="16" priority="17" stopIfTrue="1">
      <formula>L114&lt;N114</formula>
    </cfRule>
    <cfRule type="expression" dxfId="15" priority="18" stopIfTrue="1">
      <formula>L114&gt;=N114</formula>
    </cfRule>
  </conditionalFormatting>
  <conditionalFormatting sqref="T119:T122">
    <cfRule type="cellIs" dxfId="14" priority="13" stopIfTrue="1" operator="between">
      <formula>90%</formula>
      <formula>100%</formula>
    </cfRule>
  </conditionalFormatting>
  <conditionalFormatting sqref="N119:N122">
    <cfRule type="expression" dxfId="13" priority="14" stopIfTrue="1">
      <formula>L119&lt;N119</formula>
    </cfRule>
    <cfRule type="expression" dxfId="12" priority="15" stopIfTrue="1">
      <formula>L119&gt;=N119</formula>
    </cfRule>
  </conditionalFormatting>
  <conditionalFormatting sqref="N134:N137">
    <cfRule type="expression" dxfId="11" priority="11" stopIfTrue="1">
      <formula>L134&lt;N134</formula>
    </cfRule>
    <cfRule type="expression" dxfId="10" priority="12" stopIfTrue="1">
      <formula>L134&gt;=N134</formula>
    </cfRule>
  </conditionalFormatting>
  <conditionalFormatting sqref="T134:T137">
    <cfRule type="cellIs" dxfId="9" priority="10" stopIfTrue="1" operator="between">
      <formula>90%</formula>
      <formula>100%</formula>
    </cfRule>
  </conditionalFormatting>
  <conditionalFormatting sqref="N139:N142">
    <cfRule type="expression" dxfId="8" priority="8" stopIfTrue="1">
      <formula>L139&lt;N139</formula>
    </cfRule>
    <cfRule type="expression" dxfId="7" priority="9" stopIfTrue="1">
      <formula>L139&gt;=N139</formula>
    </cfRule>
  </conditionalFormatting>
  <conditionalFormatting sqref="T139:T142">
    <cfRule type="cellIs" dxfId="6" priority="7" stopIfTrue="1" operator="between">
      <formula>90%</formula>
      <formula>100%</formula>
    </cfRule>
  </conditionalFormatting>
  <conditionalFormatting sqref="T124:T127">
    <cfRule type="cellIs" dxfId="5" priority="4" stopIfTrue="1" operator="between">
      <formula>90%</formula>
      <formula>100%</formula>
    </cfRule>
  </conditionalFormatting>
  <conditionalFormatting sqref="N124:N127">
    <cfRule type="expression" dxfId="4" priority="5" stopIfTrue="1">
      <formula>L124&lt;N124</formula>
    </cfRule>
    <cfRule type="expression" dxfId="3" priority="6" stopIfTrue="1">
      <formula>L124&gt;=N124</formula>
    </cfRule>
  </conditionalFormatting>
  <conditionalFormatting sqref="T129:T132">
    <cfRule type="cellIs" dxfId="2" priority="1" stopIfTrue="1" operator="between">
      <formula>90%</formula>
      <formula>100%</formula>
    </cfRule>
  </conditionalFormatting>
  <conditionalFormatting sqref="N129:N132">
    <cfRule type="expression" dxfId="1" priority="2" stopIfTrue="1">
      <formula>L129&lt;N129</formula>
    </cfRule>
    <cfRule type="expression" dxfId="0" priority="3" stopIfTrue="1">
      <formula>L129&gt;=N129</formula>
    </cfRule>
  </conditionalFormatting>
  <pageMargins left="0.7" right="0.7" top="0.75" bottom="0.75" header="0.3" footer="0.3"/>
  <pageSetup paperSize="9" scale="45" fitToWidth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Z110"/>
  <sheetViews>
    <sheetView workbookViewId="0">
      <selection activeCell="D11" sqref="D11"/>
    </sheetView>
  </sheetViews>
  <sheetFormatPr defaultRowHeight="15" x14ac:dyDescent="0.25"/>
  <cols>
    <col min="1" max="1" width="28.85546875" customWidth="1"/>
    <col min="2" max="2" width="17.85546875" customWidth="1"/>
    <col min="3" max="3" width="15.85546875" customWidth="1"/>
    <col min="4" max="4" width="6.85546875" customWidth="1"/>
    <col min="5" max="17" width="5.140625" customWidth="1"/>
    <col min="18" max="18" width="6.140625" customWidth="1"/>
    <col min="19" max="24" width="6.85546875" customWidth="1"/>
    <col min="25" max="26" width="6.140625" customWidth="1"/>
    <col min="27" max="29" width="6.85546875" customWidth="1"/>
    <col min="30" max="31" width="7.140625" customWidth="1"/>
    <col min="32" max="32" width="6.85546875" customWidth="1"/>
    <col min="33" max="35" width="7.140625" customWidth="1"/>
    <col min="36" max="38" width="6.85546875" customWidth="1"/>
    <col min="39" max="40" width="7.140625" customWidth="1"/>
    <col min="41" max="41" width="6.85546875" customWidth="1"/>
    <col min="42" max="42" width="7" customWidth="1"/>
    <col min="43" max="45" width="6.85546875" customWidth="1"/>
    <col min="46" max="46" width="7" customWidth="1"/>
    <col min="47" max="47" width="7.140625" customWidth="1"/>
    <col min="48" max="48" width="6.85546875" customWidth="1"/>
    <col min="49" max="49" width="7" customWidth="1"/>
    <col min="50" max="50" width="6.85546875" customWidth="1"/>
    <col min="51" max="51" width="22.140625" customWidth="1"/>
  </cols>
  <sheetData>
    <row r="1" spans="1:52" x14ac:dyDescent="0.25">
      <c r="A1" s="67"/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</row>
    <row r="2" spans="1:52" x14ac:dyDescent="0.25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</row>
    <row r="3" spans="1:52" ht="15.75" x14ac:dyDescent="0.25">
      <c r="A3" s="557" t="s">
        <v>1193</v>
      </c>
      <c r="B3" s="557"/>
      <c r="C3" s="55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  <c r="AY3" s="67"/>
    </row>
    <row r="4" spans="1:52" ht="15.75" x14ac:dyDescent="0.25">
      <c r="A4" s="558" t="s">
        <v>1194</v>
      </c>
      <c r="B4" s="558"/>
      <c r="C4" s="558"/>
      <c r="D4" s="537" t="s">
        <v>955</v>
      </c>
      <c r="E4" s="537"/>
      <c r="F4" s="537" t="s">
        <v>956</v>
      </c>
      <c r="G4" s="537"/>
      <c r="H4" s="537" t="s">
        <v>1195</v>
      </c>
      <c r="I4" s="537"/>
      <c r="J4" s="537" t="s">
        <v>1196</v>
      </c>
      <c r="K4" s="537"/>
      <c r="L4" s="537" t="s">
        <v>1197</v>
      </c>
      <c r="M4" s="537"/>
      <c r="N4" s="537" t="s">
        <v>1198</v>
      </c>
      <c r="O4" s="537"/>
      <c r="P4" s="537" t="s">
        <v>1199</v>
      </c>
      <c r="Q4" s="537"/>
      <c r="R4" s="547" t="s">
        <v>1200</v>
      </c>
      <c r="S4" s="548"/>
      <c r="T4" s="549"/>
      <c r="U4" s="547" t="s">
        <v>962</v>
      </c>
      <c r="V4" s="556"/>
      <c r="W4" s="549"/>
      <c r="X4" s="547" t="s">
        <v>1201</v>
      </c>
      <c r="Y4" s="548"/>
      <c r="Z4" s="549"/>
      <c r="AA4" s="537" t="s">
        <v>1202</v>
      </c>
      <c r="AB4" s="537"/>
      <c r="AC4" s="19"/>
      <c r="AD4" s="537" t="s">
        <v>954</v>
      </c>
      <c r="AE4" s="537"/>
      <c r="AF4" s="537"/>
      <c r="AG4" s="537" t="s">
        <v>955</v>
      </c>
      <c r="AH4" s="537"/>
      <c r="AI4" s="537"/>
      <c r="AJ4" s="537" t="s">
        <v>956</v>
      </c>
      <c r="AK4" s="537"/>
      <c r="AL4" s="537"/>
      <c r="AM4" s="537" t="s">
        <v>957</v>
      </c>
      <c r="AN4" s="537"/>
      <c r="AO4" s="537"/>
      <c r="AP4" s="537" t="s">
        <v>958</v>
      </c>
      <c r="AQ4" s="537"/>
      <c r="AR4" s="537"/>
      <c r="AS4" s="537" t="s">
        <v>959</v>
      </c>
      <c r="AT4" s="537"/>
      <c r="AU4" s="537"/>
      <c r="AV4" s="537" t="s">
        <v>960</v>
      </c>
      <c r="AW4" s="537"/>
      <c r="AX4" s="537"/>
      <c r="AY4" s="551" t="s">
        <v>1203</v>
      </c>
    </row>
    <row r="5" spans="1:52" x14ac:dyDescent="0.25">
      <c r="A5" s="20" t="s">
        <v>46</v>
      </c>
      <c r="B5" s="20" t="s">
        <v>1204</v>
      </c>
      <c r="C5" s="19" t="s">
        <v>47</v>
      </c>
      <c r="D5" s="56" t="s">
        <v>965</v>
      </c>
      <c r="E5" s="56" t="s">
        <v>966</v>
      </c>
      <c r="F5" s="68" t="s">
        <v>965</v>
      </c>
      <c r="G5" s="68" t="s">
        <v>966</v>
      </c>
      <c r="H5" s="68" t="s">
        <v>965</v>
      </c>
      <c r="I5" s="68" t="s">
        <v>966</v>
      </c>
      <c r="J5" s="68" t="s">
        <v>965</v>
      </c>
      <c r="K5" s="68" t="s">
        <v>966</v>
      </c>
      <c r="L5" s="68" t="s">
        <v>965</v>
      </c>
      <c r="M5" s="68" t="s">
        <v>966</v>
      </c>
      <c r="N5" s="68" t="s">
        <v>965</v>
      </c>
      <c r="O5" s="68" t="s">
        <v>966</v>
      </c>
      <c r="P5" s="68" t="s">
        <v>965</v>
      </c>
      <c r="Q5" s="68" t="s">
        <v>966</v>
      </c>
      <c r="R5" s="68" t="s">
        <v>965</v>
      </c>
      <c r="S5" s="68" t="s">
        <v>966</v>
      </c>
      <c r="T5" s="69" t="s">
        <v>1205</v>
      </c>
      <c r="U5" s="68" t="s">
        <v>965</v>
      </c>
      <c r="V5" s="68" t="s">
        <v>966</v>
      </c>
      <c r="W5" s="69" t="s">
        <v>1205</v>
      </c>
      <c r="X5" s="68" t="s">
        <v>965</v>
      </c>
      <c r="Y5" s="68" t="s">
        <v>966</v>
      </c>
      <c r="Z5" s="69" t="s">
        <v>1205</v>
      </c>
      <c r="AA5" s="68" t="s">
        <v>965</v>
      </c>
      <c r="AB5" s="68" t="s">
        <v>966</v>
      </c>
      <c r="AC5" s="69" t="s">
        <v>1205</v>
      </c>
      <c r="AD5" s="68" t="s">
        <v>965</v>
      </c>
      <c r="AE5" s="68" t="s">
        <v>966</v>
      </c>
      <c r="AF5" s="69" t="s">
        <v>1205</v>
      </c>
      <c r="AG5" s="68" t="s">
        <v>965</v>
      </c>
      <c r="AH5" s="68" t="s">
        <v>966</v>
      </c>
      <c r="AI5" s="69" t="s">
        <v>1205</v>
      </c>
      <c r="AJ5" s="68" t="s">
        <v>965</v>
      </c>
      <c r="AK5" s="68" t="s">
        <v>966</v>
      </c>
      <c r="AL5" s="69" t="s">
        <v>1205</v>
      </c>
      <c r="AM5" s="68" t="s">
        <v>965</v>
      </c>
      <c r="AN5" s="68" t="s">
        <v>966</v>
      </c>
      <c r="AO5" s="69" t="s">
        <v>1205</v>
      </c>
      <c r="AP5" s="68" t="s">
        <v>965</v>
      </c>
      <c r="AQ5" s="68" t="s">
        <v>966</v>
      </c>
      <c r="AR5" s="69" t="s">
        <v>1205</v>
      </c>
      <c r="AS5" s="68" t="s">
        <v>965</v>
      </c>
      <c r="AT5" s="68" t="s">
        <v>966</v>
      </c>
      <c r="AU5" s="69" t="s">
        <v>1205</v>
      </c>
      <c r="AV5" s="68" t="s">
        <v>965</v>
      </c>
      <c r="AW5" s="68" t="s">
        <v>966</v>
      </c>
      <c r="AX5" s="69" t="s">
        <v>1205</v>
      </c>
      <c r="AY5" s="552"/>
    </row>
    <row r="6" spans="1:52" x14ac:dyDescent="0.25">
      <c r="A6" s="70" t="s">
        <v>1206</v>
      </c>
      <c r="B6" s="70" t="s">
        <v>1207</v>
      </c>
      <c r="C6" s="2" t="s">
        <v>1208</v>
      </c>
      <c r="D6" s="71">
        <v>4</v>
      </c>
      <c r="E6" s="2">
        <v>4</v>
      </c>
      <c r="F6" s="72"/>
      <c r="G6" s="73"/>
      <c r="H6" s="72"/>
      <c r="I6" s="73"/>
      <c r="J6" s="72"/>
      <c r="K6" s="73"/>
      <c r="L6" s="72"/>
      <c r="M6" s="73"/>
      <c r="N6" s="72"/>
      <c r="O6" s="73"/>
      <c r="P6" s="72"/>
      <c r="Q6" s="73"/>
      <c r="R6" s="72" t="e">
        <v>#N/A</v>
      </c>
      <c r="S6" s="72" t="e">
        <v>#N/A</v>
      </c>
      <c r="T6" s="74"/>
      <c r="U6" s="73">
        <v>4</v>
      </c>
      <c r="V6" s="73">
        <v>1</v>
      </c>
      <c r="W6" s="74"/>
      <c r="X6" s="72">
        <v>4</v>
      </c>
      <c r="Y6" s="73">
        <v>2</v>
      </c>
      <c r="Z6" s="74"/>
      <c r="AA6" s="72">
        <v>4</v>
      </c>
      <c r="AB6" s="73">
        <v>2</v>
      </c>
      <c r="AC6" s="74"/>
      <c r="AD6" s="73">
        <v>4</v>
      </c>
      <c r="AE6" s="73">
        <v>1</v>
      </c>
      <c r="AF6" s="74"/>
      <c r="AG6" s="72">
        <v>4</v>
      </c>
      <c r="AH6" s="73">
        <v>1</v>
      </c>
      <c r="AI6" s="74"/>
      <c r="AJ6" s="72">
        <v>4</v>
      </c>
      <c r="AK6" s="73">
        <v>1</v>
      </c>
      <c r="AL6" s="74"/>
      <c r="AM6" s="72">
        <v>4</v>
      </c>
      <c r="AN6" s="73">
        <v>2</v>
      </c>
      <c r="AO6" s="74"/>
      <c r="AP6" s="72"/>
      <c r="AQ6" s="73"/>
      <c r="AR6" s="74"/>
      <c r="AS6" s="72"/>
      <c r="AT6" s="73"/>
      <c r="AU6" s="74"/>
      <c r="AV6" s="72"/>
      <c r="AW6" s="73"/>
      <c r="AX6" s="74"/>
      <c r="AY6" s="2" t="s">
        <v>1209</v>
      </c>
    </row>
    <row r="7" spans="1:52" x14ac:dyDescent="0.25">
      <c r="A7" s="75" t="s">
        <v>1210</v>
      </c>
      <c r="B7" s="75" t="s">
        <v>1211</v>
      </c>
      <c r="C7" s="22" t="s">
        <v>1208</v>
      </c>
      <c r="D7" s="71">
        <v>4</v>
      </c>
      <c r="E7" s="2">
        <v>3</v>
      </c>
      <c r="F7" s="71"/>
      <c r="G7" s="2"/>
      <c r="H7" s="71"/>
      <c r="I7" s="2"/>
      <c r="J7" s="71"/>
      <c r="K7" s="2"/>
      <c r="L7" s="71"/>
      <c r="M7" s="2"/>
      <c r="N7" s="71"/>
      <c r="O7" s="2"/>
      <c r="P7" s="71"/>
      <c r="Q7" s="2"/>
      <c r="R7" s="72">
        <v>3</v>
      </c>
      <c r="S7" s="73">
        <v>3</v>
      </c>
      <c r="T7" s="74"/>
      <c r="U7" s="72" t="e">
        <v>#N/A</v>
      </c>
      <c r="V7" s="72" t="e">
        <v>#N/A</v>
      </c>
      <c r="W7" s="74"/>
      <c r="X7" s="72">
        <v>3</v>
      </c>
      <c r="Y7" s="73">
        <v>3</v>
      </c>
      <c r="Z7" s="74"/>
      <c r="AA7" s="72" t="e">
        <v>#N/A</v>
      </c>
      <c r="AB7" s="73">
        <v>3</v>
      </c>
      <c r="AC7" s="74"/>
      <c r="AD7" s="73">
        <v>3</v>
      </c>
      <c r="AE7" s="73">
        <v>3</v>
      </c>
      <c r="AF7" s="74"/>
      <c r="AG7" s="72">
        <v>3</v>
      </c>
      <c r="AH7" s="73">
        <v>3</v>
      </c>
      <c r="AI7" s="74"/>
      <c r="AJ7" s="72" t="e">
        <v>#N/A</v>
      </c>
      <c r="AK7" s="73" t="e">
        <v>#N/A</v>
      </c>
      <c r="AL7" s="74"/>
      <c r="AM7" s="72">
        <v>4</v>
      </c>
      <c r="AN7" s="73">
        <v>3</v>
      </c>
      <c r="AO7" s="74"/>
      <c r="AP7" s="72"/>
      <c r="AQ7" s="73"/>
      <c r="AR7" s="74"/>
      <c r="AS7" s="72"/>
      <c r="AT7" s="73"/>
      <c r="AU7" s="74"/>
      <c r="AV7" s="72"/>
      <c r="AW7" s="73"/>
      <c r="AX7" s="74"/>
      <c r="AY7" s="2" t="s">
        <v>1212</v>
      </c>
    </row>
    <row r="8" spans="1:52" x14ac:dyDescent="0.25">
      <c r="A8" s="2" t="s">
        <v>84</v>
      </c>
      <c r="B8" s="2" t="s">
        <v>1213</v>
      </c>
      <c r="C8" s="2" t="s">
        <v>57</v>
      </c>
      <c r="D8" s="71">
        <v>3</v>
      </c>
      <c r="E8" s="2">
        <v>3</v>
      </c>
      <c r="F8" s="71"/>
      <c r="G8" s="2"/>
      <c r="H8" s="71"/>
      <c r="I8" s="2"/>
      <c r="J8" s="71"/>
      <c r="K8" s="2"/>
      <c r="L8" s="71"/>
      <c r="M8" s="2"/>
      <c r="N8" s="71"/>
      <c r="O8" s="2"/>
      <c r="P8" s="71"/>
      <c r="Q8" s="2"/>
      <c r="R8" s="72" t="e">
        <v>#N/A</v>
      </c>
      <c r="S8" s="72" t="e">
        <v>#N/A</v>
      </c>
      <c r="T8" s="74"/>
      <c r="U8" s="73">
        <v>3</v>
      </c>
      <c r="V8" s="73">
        <v>3</v>
      </c>
      <c r="W8" s="74"/>
      <c r="X8" s="72">
        <v>3</v>
      </c>
      <c r="Y8" s="73">
        <v>3</v>
      </c>
      <c r="Z8" s="74"/>
      <c r="AA8" s="72" t="e">
        <v>#N/A</v>
      </c>
      <c r="AB8" s="72" t="e">
        <v>#N/A</v>
      </c>
      <c r="AC8" s="74"/>
      <c r="AD8" s="73">
        <v>3</v>
      </c>
      <c r="AE8" s="73">
        <v>3</v>
      </c>
      <c r="AF8" s="74"/>
      <c r="AG8" s="72" t="e">
        <v>#N/A</v>
      </c>
      <c r="AH8" s="73" t="e">
        <v>#N/A</v>
      </c>
      <c r="AI8" s="74"/>
      <c r="AJ8" s="72" t="e">
        <v>#N/A</v>
      </c>
      <c r="AK8" s="73" t="e">
        <v>#N/A</v>
      </c>
      <c r="AL8" s="74"/>
      <c r="AM8" s="72" t="e">
        <v>#N/A</v>
      </c>
      <c r="AN8" s="73" t="e">
        <v>#N/A</v>
      </c>
      <c r="AO8" s="74"/>
      <c r="AP8" s="72"/>
      <c r="AQ8" s="72"/>
      <c r="AR8" s="74"/>
      <c r="AS8" s="72"/>
      <c r="AT8" s="72"/>
      <c r="AU8" s="74"/>
      <c r="AV8" s="72"/>
      <c r="AW8" s="72"/>
      <c r="AX8" s="74"/>
      <c r="AY8" s="2" t="s">
        <v>1214</v>
      </c>
    </row>
    <row r="9" spans="1:52" x14ac:dyDescent="0.25">
      <c r="A9" s="70" t="s">
        <v>990</v>
      </c>
      <c r="B9" s="70" t="s">
        <v>1215</v>
      </c>
      <c r="C9" s="2" t="s">
        <v>1216</v>
      </c>
      <c r="D9" s="71">
        <v>4</v>
      </c>
      <c r="E9" s="2">
        <v>2</v>
      </c>
      <c r="F9" s="71"/>
      <c r="G9" s="2"/>
      <c r="H9" s="71"/>
      <c r="I9" s="2"/>
      <c r="J9" s="71"/>
      <c r="K9" s="2"/>
      <c r="L9" s="71"/>
      <c r="M9" s="2"/>
      <c r="N9" s="71"/>
      <c r="O9" s="2"/>
      <c r="P9" s="71"/>
      <c r="Q9" s="2"/>
      <c r="R9" s="72">
        <v>4</v>
      </c>
      <c r="S9" s="73">
        <v>4</v>
      </c>
      <c r="T9" s="74"/>
      <c r="U9" s="73">
        <v>4</v>
      </c>
      <c r="V9" s="73">
        <v>4</v>
      </c>
      <c r="W9" s="74"/>
      <c r="X9" s="72">
        <v>4</v>
      </c>
      <c r="Y9" s="73">
        <v>4</v>
      </c>
      <c r="Z9" s="74"/>
      <c r="AA9" s="72">
        <v>4</v>
      </c>
      <c r="AB9" s="73">
        <v>4</v>
      </c>
      <c r="AC9" s="74"/>
      <c r="AD9" s="73">
        <v>4</v>
      </c>
      <c r="AE9" s="73">
        <v>4</v>
      </c>
      <c r="AF9" s="74"/>
      <c r="AG9" s="72">
        <v>4</v>
      </c>
      <c r="AH9" s="73">
        <v>4</v>
      </c>
      <c r="AI9" s="74"/>
      <c r="AJ9" s="72">
        <v>4</v>
      </c>
      <c r="AK9" s="73">
        <v>4</v>
      </c>
      <c r="AL9" s="74"/>
      <c r="AM9" s="72">
        <v>4</v>
      </c>
      <c r="AN9" s="73">
        <v>4</v>
      </c>
      <c r="AO9" s="74"/>
      <c r="AP9" s="72"/>
      <c r="AQ9" s="73"/>
      <c r="AR9" s="74"/>
      <c r="AS9" s="72"/>
      <c r="AT9" s="73"/>
      <c r="AU9" s="74"/>
      <c r="AV9" s="72"/>
      <c r="AW9" s="73"/>
      <c r="AX9" s="74"/>
      <c r="AY9" s="2" t="s">
        <v>114</v>
      </c>
      <c r="AZ9" s="21"/>
    </row>
    <row r="10" spans="1:52" x14ac:dyDescent="0.25">
      <c r="A10" s="70" t="s">
        <v>994</v>
      </c>
      <c r="B10" s="70" t="s">
        <v>1217</v>
      </c>
      <c r="C10" s="2" t="s">
        <v>1208</v>
      </c>
      <c r="D10" s="71">
        <v>4</v>
      </c>
      <c r="E10" s="2">
        <v>4</v>
      </c>
      <c r="F10" s="71"/>
      <c r="G10" s="2"/>
      <c r="H10" s="71"/>
      <c r="I10" s="2"/>
      <c r="J10" s="71"/>
      <c r="K10" s="2"/>
      <c r="L10" s="71"/>
      <c r="M10" s="2"/>
      <c r="N10" s="71"/>
      <c r="O10" s="2"/>
      <c r="P10" s="71"/>
      <c r="Q10" s="2"/>
      <c r="R10" s="72">
        <v>4</v>
      </c>
      <c r="S10" s="73">
        <v>4</v>
      </c>
      <c r="T10" s="74"/>
      <c r="U10" s="73">
        <v>4</v>
      </c>
      <c r="V10" s="73">
        <v>4</v>
      </c>
      <c r="W10" s="74"/>
      <c r="X10" s="72" t="e">
        <v>#N/A</v>
      </c>
      <c r="Y10" s="72" t="e">
        <v>#N/A</v>
      </c>
      <c r="Z10" s="74"/>
      <c r="AA10" s="72" t="e">
        <v>#N/A</v>
      </c>
      <c r="AB10" s="72" t="e">
        <v>#N/A</v>
      </c>
      <c r="AC10" s="74"/>
      <c r="AD10" s="73">
        <v>4</v>
      </c>
      <c r="AE10" s="73">
        <v>4</v>
      </c>
      <c r="AF10" s="74"/>
      <c r="AG10" s="72">
        <v>4</v>
      </c>
      <c r="AH10" s="73">
        <v>4</v>
      </c>
      <c r="AI10" s="74"/>
      <c r="AJ10" s="72">
        <v>4</v>
      </c>
      <c r="AK10" s="73">
        <v>4</v>
      </c>
      <c r="AL10" s="74"/>
      <c r="AM10" s="72">
        <v>4</v>
      </c>
      <c r="AN10" s="73">
        <v>4</v>
      </c>
      <c r="AO10" s="74"/>
      <c r="AP10" s="72"/>
      <c r="AQ10" s="72"/>
      <c r="AR10" s="74"/>
      <c r="AS10" s="72"/>
      <c r="AT10" s="72"/>
      <c r="AU10" s="74"/>
      <c r="AV10" s="72"/>
      <c r="AW10" s="72"/>
      <c r="AX10" s="74"/>
      <c r="AY10" s="2" t="s">
        <v>1218</v>
      </c>
    </row>
    <row r="11" spans="1:52" x14ac:dyDescent="0.25">
      <c r="A11" s="2" t="s">
        <v>1219</v>
      </c>
      <c r="B11" s="2" t="s">
        <v>1213</v>
      </c>
      <c r="C11" s="2" t="s">
        <v>57</v>
      </c>
      <c r="D11" s="71" t="e">
        <v>#N/A</v>
      </c>
      <c r="E11" s="2" t="e">
        <v>#N/A</v>
      </c>
      <c r="F11" s="71"/>
      <c r="G11" s="2"/>
      <c r="H11" s="71"/>
      <c r="I11" s="2"/>
      <c r="J11" s="71"/>
      <c r="K11" s="2"/>
      <c r="L11" s="71"/>
      <c r="M11" s="2"/>
      <c r="N11" s="71"/>
      <c r="O11" s="2"/>
      <c r="P11" s="71"/>
      <c r="Q11" s="2"/>
      <c r="R11" s="72" t="e">
        <v>#N/A</v>
      </c>
      <c r="S11" s="72" t="e">
        <v>#N/A</v>
      </c>
      <c r="T11" s="74"/>
      <c r="U11" s="73">
        <v>3</v>
      </c>
      <c r="V11" s="73">
        <v>3</v>
      </c>
      <c r="W11" s="74"/>
      <c r="X11" s="72" t="e">
        <v>#N/A</v>
      </c>
      <c r="Y11" s="72" t="e">
        <v>#N/A</v>
      </c>
      <c r="Z11" s="74"/>
      <c r="AA11" s="72" t="e">
        <v>#N/A</v>
      </c>
      <c r="AB11" s="72" t="e">
        <v>#N/A</v>
      </c>
      <c r="AC11" s="74"/>
      <c r="AD11" s="73" t="e">
        <v>#N/A</v>
      </c>
      <c r="AE11" s="73" t="e">
        <v>#N/A</v>
      </c>
      <c r="AF11" s="74"/>
      <c r="AG11" s="72" t="e">
        <v>#N/A</v>
      </c>
      <c r="AH11" s="73" t="e">
        <v>#N/A</v>
      </c>
      <c r="AI11" s="74"/>
      <c r="AJ11" s="72">
        <v>1</v>
      </c>
      <c r="AK11" s="73">
        <v>1</v>
      </c>
      <c r="AL11" s="74"/>
      <c r="AM11" s="72" t="e">
        <v>#N/A</v>
      </c>
      <c r="AN11" s="73" t="e">
        <v>#N/A</v>
      </c>
      <c r="AO11" s="74"/>
      <c r="AP11" s="72"/>
      <c r="AQ11" s="72"/>
      <c r="AR11" s="74"/>
      <c r="AS11" s="72"/>
      <c r="AT11" s="72"/>
      <c r="AU11" s="74"/>
      <c r="AV11" s="72"/>
      <c r="AW11" s="72"/>
      <c r="AX11" s="74"/>
      <c r="AY11" s="2" t="s">
        <v>1214</v>
      </c>
    </row>
    <row r="12" spans="1:52" x14ac:dyDescent="0.25">
      <c r="A12" s="70" t="s">
        <v>997</v>
      </c>
      <c r="B12" s="70" t="s">
        <v>1220</v>
      </c>
      <c r="C12" s="2" t="s">
        <v>1221</v>
      </c>
      <c r="D12" s="71">
        <v>3</v>
      </c>
      <c r="E12" s="2">
        <v>3</v>
      </c>
      <c r="F12" s="71"/>
      <c r="G12" s="2"/>
      <c r="H12" s="71"/>
      <c r="I12" s="2"/>
      <c r="J12" s="71"/>
      <c r="K12" s="2"/>
      <c r="L12" s="71"/>
      <c r="M12" s="2"/>
      <c r="N12" s="71"/>
      <c r="O12" s="2"/>
      <c r="P12" s="71"/>
      <c r="Q12" s="2"/>
      <c r="R12" s="72">
        <v>4</v>
      </c>
      <c r="S12" s="73">
        <v>3</v>
      </c>
      <c r="T12" s="74"/>
      <c r="U12" s="73">
        <v>4</v>
      </c>
      <c r="V12" s="73">
        <v>4</v>
      </c>
      <c r="W12" s="74"/>
      <c r="X12" s="72">
        <v>3</v>
      </c>
      <c r="Y12" s="73">
        <v>3</v>
      </c>
      <c r="Z12" s="74"/>
      <c r="AA12" s="72">
        <v>3</v>
      </c>
      <c r="AB12" s="73">
        <v>2</v>
      </c>
      <c r="AC12" s="74"/>
      <c r="AD12" s="73">
        <v>3</v>
      </c>
      <c r="AE12" s="73">
        <v>2</v>
      </c>
      <c r="AF12" s="74"/>
      <c r="AG12" s="72">
        <v>3</v>
      </c>
      <c r="AH12" s="73">
        <v>3</v>
      </c>
      <c r="AI12" s="74"/>
      <c r="AJ12" s="72">
        <v>3</v>
      </c>
      <c r="AK12" s="73">
        <v>3</v>
      </c>
      <c r="AL12" s="74"/>
      <c r="AM12" s="72">
        <v>3</v>
      </c>
      <c r="AN12" s="73">
        <v>3</v>
      </c>
      <c r="AO12" s="74"/>
      <c r="AP12" s="72"/>
      <c r="AQ12" s="73"/>
      <c r="AR12" s="74"/>
      <c r="AS12" s="72"/>
      <c r="AT12" s="73"/>
      <c r="AU12" s="74"/>
      <c r="AV12" s="72"/>
      <c r="AW12" s="73"/>
      <c r="AX12" s="74"/>
      <c r="AY12" s="2" t="s">
        <v>1222</v>
      </c>
    </row>
    <row r="13" spans="1:52" x14ac:dyDescent="0.25">
      <c r="A13" s="70" t="s">
        <v>999</v>
      </c>
      <c r="B13" s="70" t="s">
        <v>1223</v>
      </c>
      <c r="C13" s="22" t="s">
        <v>1208</v>
      </c>
      <c r="D13" s="71" t="e">
        <v>#N/A</v>
      </c>
      <c r="E13" s="2" t="e">
        <v>#N/A</v>
      </c>
      <c r="F13" s="71"/>
      <c r="G13" s="2"/>
      <c r="H13" s="71"/>
      <c r="I13" s="2"/>
      <c r="J13" s="71"/>
      <c r="K13" s="2"/>
      <c r="L13" s="71"/>
      <c r="M13" s="2"/>
      <c r="N13" s="71"/>
      <c r="O13" s="2"/>
      <c r="P13" s="71"/>
      <c r="Q13" s="2"/>
      <c r="R13" s="72" t="e">
        <v>#N/A</v>
      </c>
      <c r="S13" s="72" t="e">
        <v>#N/A</v>
      </c>
      <c r="T13" s="74"/>
      <c r="U13" s="72" t="e">
        <v>#N/A</v>
      </c>
      <c r="V13" s="72" t="e">
        <v>#N/A</v>
      </c>
      <c r="W13" s="74"/>
      <c r="X13" s="72" t="e">
        <v>#N/A</v>
      </c>
      <c r="Y13" s="72" t="e">
        <v>#N/A</v>
      </c>
      <c r="Z13" s="74"/>
      <c r="AA13" s="72" t="e">
        <v>#N/A</v>
      </c>
      <c r="AB13" s="72" t="e">
        <v>#N/A</v>
      </c>
      <c r="AC13" s="74"/>
      <c r="AD13" s="73" t="e">
        <v>#N/A</v>
      </c>
      <c r="AE13" s="73" t="e">
        <v>#N/A</v>
      </c>
      <c r="AF13" s="74"/>
      <c r="AG13" s="72" t="e">
        <v>#N/A</v>
      </c>
      <c r="AH13" s="73" t="e">
        <v>#N/A</v>
      </c>
      <c r="AI13" s="74"/>
      <c r="AJ13" s="72" t="e">
        <v>#N/A</v>
      </c>
      <c r="AK13" s="73" t="e">
        <v>#N/A</v>
      </c>
      <c r="AL13" s="74"/>
      <c r="AM13" s="72" t="e">
        <v>#N/A</v>
      </c>
      <c r="AN13" s="73" t="e">
        <v>#N/A</v>
      </c>
      <c r="AO13" s="74"/>
      <c r="AP13" s="72"/>
      <c r="AQ13" s="72"/>
      <c r="AR13" s="74"/>
      <c r="AS13" s="72"/>
      <c r="AT13" s="72"/>
      <c r="AU13" s="74"/>
      <c r="AV13" s="72"/>
      <c r="AW13" s="72"/>
      <c r="AX13" s="74"/>
      <c r="AY13" s="2" t="s">
        <v>1224</v>
      </c>
    </row>
    <row r="14" spans="1:52" x14ac:dyDescent="0.25">
      <c r="A14" s="2" t="s">
        <v>1225</v>
      </c>
      <c r="B14" s="2" t="s">
        <v>1226</v>
      </c>
      <c r="C14" s="2" t="s">
        <v>1208</v>
      </c>
      <c r="D14" s="71" t="e">
        <v>#N/A</v>
      </c>
      <c r="E14" s="2" t="e">
        <v>#N/A</v>
      </c>
      <c r="F14" s="71"/>
      <c r="G14" s="2"/>
      <c r="H14" s="71"/>
      <c r="I14" s="2"/>
      <c r="J14" s="71"/>
      <c r="K14" s="2"/>
      <c r="L14" s="71"/>
      <c r="M14" s="2"/>
      <c r="N14" s="71"/>
      <c r="O14" s="2"/>
      <c r="P14" s="71"/>
      <c r="Q14" s="2"/>
      <c r="R14" s="72" t="e">
        <v>#N/A</v>
      </c>
      <c r="S14" s="72" t="e">
        <v>#N/A</v>
      </c>
      <c r="T14" s="74"/>
      <c r="U14" s="72" t="e">
        <v>#N/A</v>
      </c>
      <c r="V14" s="72" t="e">
        <v>#N/A</v>
      </c>
      <c r="W14" s="74"/>
      <c r="X14" s="72" t="e">
        <v>#N/A</v>
      </c>
      <c r="Y14" s="72" t="e">
        <v>#N/A</v>
      </c>
      <c r="Z14" s="74"/>
      <c r="AA14" s="72" t="e">
        <v>#N/A</v>
      </c>
      <c r="AB14" s="72" t="e">
        <v>#N/A</v>
      </c>
      <c r="AC14" s="74"/>
      <c r="AD14" s="73" t="e">
        <v>#N/A</v>
      </c>
      <c r="AE14" s="73" t="e">
        <v>#N/A</v>
      </c>
      <c r="AF14" s="74"/>
      <c r="AG14" s="72" t="e">
        <v>#N/A</v>
      </c>
      <c r="AH14" s="73" t="e">
        <v>#N/A</v>
      </c>
      <c r="AI14" s="74"/>
      <c r="AJ14" s="72" t="e">
        <v>#N/A</v>
      </c>
      <c r="AK14" s="73" t="e">
        <v>#N/A</v>
      </c>
      <c r="AL14" s="74"/>
      <c r="AM14" s="72" t="e">
        <v>#N/A</v>
      </c>
      <c r="AN14" s="73" t="e">
        <v>#N/A</v>
      </c>
      <c r="AO14" s="74"/>
      <c r="AP14" s="72"/>
      <c r="AQ14" s="72"/>
      <c r="AR14" s="74"/>
      <c r="AS14" s="72"/>
      <c r="AT14" s="72"/>
      <c r="AU14" s="74"/>
      <c r="AV14" s="72"/>
      <c r="AW14" s="72"/>
      <c r="AX14" s="74"/>
      <c r="AY14" s="2" t="s">
        <v>1227</v>
      </c>
    </row>
    <row r="15" spans="1:52" x14ac:dyDescent="0.25">
      <c r="A15" s="70" t="s">
        <v>1005</v>
      </c>
      <c r="B15" s="70" t="s">
        <v>1215</v>
      </c>
      <c r="C15" s="2" t="s">
        <v>1221</v>
      </c>
      <c r="D15" s="71" t="e">
        <v>#N/A</v>
      </c>
      <c r="E15" s="2" t="e">
        <v>#N/A</v>
      </c>
      <c r="F15" s="71"/>
      <c r="G15" s="2"/>
      <c r="H15" s="71"/>
      <c r="I15" s="2"/>
      <c r="J15" s="71"/>
      <c r="K15" s="2"/>
      <c r="L15" s="71"/>
      <c r="M15" s="2"/>
      <c r="N15" s="71"/>
      <c r="O15" s="2"/>
      <c r="P15" s="71"/>
      <c r="Q15" s="2"/>
      <c r="R15" s="72">
        <v>3</v>
      </c>
      <c r="S15" s="73">
        <v>3</v>
      </c>
      <c r="T15" s="74"/>
      <c r="U15" s="73">
        <v>3</v>
      </c>
      <c r="V15" s="73">
        <v>3</v>
      </c>
      <c r="W15" s="74"/>
      <c r="X15" s="72">
        <v>3</v>
      </c>
      <c r="Y15" s="73">
        <v>3</v>
      </c>
      <c r="Z15" s="74"/>
      <c r="AA15" s="72">
        <v>3</v>
      </c>
      <c r="AB15" s="73">
        <v>3</v>
      </c>
      <c r="AC15" s="74"/>
      <c r="AD15" s="73">
        <v>3</v>
      </c>
      <c r="AE15" s="73">
        <v>3</v>
      </c>
      <c r="AF15" s="74"/>
      <c r="AG15" s="72">
        <v>3</v>
      </c>
      <c r="AH15" s="73">
        <v>3</v>
      </c>
      <c r="AI15" s="74"/>
      <c r="AJ15" s="72">
        <v>3</v>
      </c>
      <c r="AK15" s="73">
        <v>3</v>
      </c>
      <c r="AL15" s="74"/>
      <c r="AM15" s="72">
        <v>3</v>
      </c>
      <c r="AN15" s="73">
        <v>3</v>
      </c>
      <c r="AO15" s="74"/>
      <c r="AP15" s="72"/>
      <c r="AQ15" s="73"/>
      <c r="AR15" s="74"/>
      <c r="AS15" s="72"/>
      <c r="AT15" s="73"/>
      <c r="AU15" s="74"/>
      <c r="AV15" s="72"/>
      <c r="AW15" s="73"/>
      <c r="AX15" s="74"/>
      <c r="AY15" s="2" t="s">
        <v>1222</v>
      </c>
    </row>
    <row r="16" spans="1:52" x14ac:dyDescent="0.25">
      <c r="A16" s="70" t="s">
        <v>1010</v>
      </c>
      <c r="B16" s="70" t="s">
        <v>1217</v>
      </c>
      <c r="C16" s="2" t="s">
        <v>1208</v>
      </c>
      <c r="D16" s="71">
        <v>3</v>
      </c>
      <c r="E16" s="2">
        <v>3</v>
      </c>
      <c r="F16" s="71"/>
      <c r="G16" s="2"/>
      <c r="H16" s="71"/>
      <c r="I16" s="2"/>
      <c r="J16" s="71"/>
      <c r="K16" s="2"/>
      <c r="L16" s="71"/>
      <c r="M16" s="2"/>
      <c r="N16" s="71"/>
      <c r="O16" s="2"/>
      <c r="P16" s="71"/>
      <c r="Q16" s="2"/>
      <c r="R16" s="72">
        <v>3</v>
      </c>
      <c r="S16" s="73">
        <v>3</v>
      </c>
      <c r="T16" s="74"/>
      <c r="U16" s="72" t="e">
        <v>#N/A</v>
      </c>
      <c r="V16" s="72" t="e">
        <v>#N/A</v>
      </c>
      <c r="W16" s="74"/>
      <c r="X16" s="72" t="e">
        <v>#N/A</v>
      </c>
      <c r="Y16" s="72" t="e">
        <v>#N/A</v>
      </c>
      <c r="Z16" s="74">
        <v>3</v>
      </c>
      <c r="AA16" s="72" t="e">
        <v>#N/A</v>
      </c>
      <c r="AB16" s="72" t="e">
        <v>#N/A</v>
      </c>
      <c r="AC16" s="74"/>
      <c r="AD16" s="73">
        <v>3</v>
      </c>
      <c r="AE16" s="73">
        <v>3</v>
      </c>
      <c r="AF16" s="74"/>
      <c r="AG16" s="72">
        <v>3</v>
      </c>
      <c r="AH16" s="73">
        <v>3</v>
      </c>
      <c r="AI16" s="74"/>
      <c r="AJ16" s="72">
        <v>3</v>
      </c>
      <c r="AK16" s="73">
        <v>3</v>
      </c>
      <c r="AL16" s="74"/>
      <c r="AM16" s="72">
        <v>3</v>
      </c>
      <c r="AN16" s="73">
        <v>2</v>
      </c>
      <c r="AO16" s="74"/>
      <c r="AP16" s="72"/>
      <c r="AQ16" s="72"/>
      <c r="AR16" s="74"/>
      <c r="AS16" s="72"/>
      <c r="AT16" s="72"/>
      <c r="AU16" s="74"/>
      <c r="AV16" s="72"/>
      <c r="AW16" s="72"/>
      <c r="AX16" s="74"/>
      <c r="AY16" s="2" t="s">
        <v>1218</v>
      </c>
    </row>
    <row r="17" spans="1:51" x14ac:dyDescent="0.25">
      <c r="A17" s="70" t="s">
        <v>1012</v>
      </c>
      <c r="B17" s="70" t="s">
        <v>1207</v>
      </c>
      <c r="C17" s="2" t="s">
        <v>1208</v>
      </c>
      <c r="D17" s="71">
        <v>3</v>
      </c>
      <c r="E17" s="2">
        <v>3</v>
      </c>
      <c r="F17" s="71"/>
      <c r="G17" s="2"/>
      <c r="H17" s="71"/>
      <c r="I17" s="2"/>
      <c r="J17" s="71"/>
      <c r="K17" s="2"/>
      <c r="L17" s="71"/>
      <c r="M17" s="2"/>
      <c r="N17" s="71"/>
      <c r="O17" s="2"/>
      <c r="P17" s="71"/>
      <c r="Q17" s="2"/>
      <c r="R17" s="72">
        <v>4</v>
      </c>
      <c r="S17" s="73">
        <v>4</v>
      </c>
      <c r="T17" s="74"/>
      <c r="U17" s="73">
        <v>4</v>
      </c>
      <c r="V17" s="73">
        <v>4</v>
      </c>
      <c r="W17" s="74"/>
      <c r="X17" s="72">
        <v>4</v>
      </c>
      <c r="Y17" s="73">
        <v>4</v>
      </c>
      <c r="Z17" s="74"/>
      <c r="AA17" s="72">
        <v>3</v>
      </c>
      <c r="AB17" s="73">
        <v>4</v>
      </c>
      <c r="AC17" s="74"/>
      <c r="AD17" s="73">
        <v>3</v>
      </c>
      <c r="AE17" s="73">
        <v>3</v>
      </c>
      <c r="AF17" s="74"/>
      <c r="AG17" s="72">
        <v>3</v>
      </c>
      <c r="AH17" s="73">
        <v>3</v>
      </c>
      <c r="AI17" s="74"/>
      <c r="AJ17" s="72">
        <v>3</v>
      </c>
      <c r="AK17" s="73">
        <v>3</v>
      </c>
      <c r="AL17" s="74"/>
      <c r="AM17" s="72">
        <v>3</v>
      </c>
      <c r="AN17" s="73">
        <v>3</v>
      </c>
      <c r="AO17" s="74"/>
      <c r="AP17" s="72"/>
      <c r="AQ17" s="73"/>
      <c r="AR17" s="74"/>
      <c r="AS17" s="72"/>
      <c r="AT17" s="73"/>
      <c r="AU17" s="74"/>
      <c r="AV17" s="72"/>
      <c r="AW17" s="73"/>
      <c r="AX17" s="74"/>
      <c r="AY17" s="2" t="s">
        <v>1228</v>
      </c>
    </row>
    <row r="18" spans="1:51" x14ac:dyDescent="0.25">
      <c r="A18" s="2" t="s">
        <v>1229</v>
      </c>
      <c r="B18" s="2" t="s">
        <v>1213</v>
      </c>
      <c r="C18" s="2" t="s">
        <v>57</v>
      </c>
      <c r="D18" s="71" t="e">
        <v>#N/A</v>
      </c>
      <c r="E18" s="2" t="e">
        <v>#N/A</v>
      </c>
      <c r="F18" s="71"/>
      <c r="G18" s="2"/>
      <c r="H18" s="71"/>
      <c r="I18" s="2"/>
      <c r="J18" s="71"/>
      <c r="K18" s="2"/>
      <c r="L18" s="71"/>
      <c r="M18" s="2"/>
      <c r="N18" s="71"/>
      <c r="O18" s="2"/>
      <c r="P18" s="71"/>
      <c r="Q18" s="2"/>
      <c r="R18" s="72" t="e">
        <v>#N/A</v>
      </c>
      <c r="S18" s="72" t="e">
        <v>#N/A</v>
      </c>
      <c r="T18" s="74"/>
      <c r="U18" s="72" t="e">
        <v>#N/A</v>
      </c>
      <c r="V18" s="72" t="e">
        <v>#N/A</v>
      </c>
      <c r="W18" s="74"/>
      <c r="X18" s="72" t="e">
        <v>#N/A</v>
      </c>
      <c r="Y18" s="72" t="e">
        <v>#N/A</v>
      </c>
      <c r="Z18" s="74"/>
      <c r="AA18" s="72" t="e">
        <v>#N/A</v>
      </c>
      <c r="AB18" s="72" t="e">
        <v>#N/A</v>
      </c>
      <c r="AC18" s="74"/>
      <c r="AD18" s="73" t="e">
        <v>#N/A</v>
      </c>
      <c r="AE18" s="73" t="e">
        <v>#N/A</v>
      </c>
      <c r="AF18" s="74"/>
      <c r="AG18" s="72" t="e">
        <v>#N/A</v>
      </c>
      <c r="AH18" s="73" t="e">
        <v>#N/A</v>
      </c>
      <c r="AI18" s="74"/>
      <c r="AJ18" s="72" t="e">
        <v>#N/A</v>
      </c>
      <c r="AK18" s="73" t="e">
        <v>#N/A</v>
      </c>
      <c r="AL18" s="74"/>
      <c r="AM18" s="72" t="e">
        <v>#N/A</v>
      </c>
      <c r="AN18" s="73" t="e">
        <v>#N/A</v>
      </c>
      <c r="AO18" s="74"/>
      <c r="AP18" s="72"/>
      <c r="AQ18" s="72"/>
      <c r="AR18" s="74"/>
      <c r="AS18" s="72"/>
      <c r="AT18" s="72"/>
      <c r="AU18" s="74"/>
      <c r="AV18" s="72"/>
      <c r="AW18" s="72"/>
      <c r="AX18" s="74"/>
      <c r="AY18" s="2" t="s">
        <v>1230</v>
      </c>
    </row>
    <row r="19" spans="1:51" x14ac:dyDescent="0.25">
      <c r="A19" s="2" t="s">
        <v>1231</v>
      </c>
      <c r="B19" s="2" t="s">
        <v>1213</v>
      </c>
      <c r="C19" s="2" t="s">
        <v>57</v>
      </c>
      <c r="D19" s="71" t="e">
        <v>#N/A</v>
      </c>
      <c r="E19" s="2" t="e">
        <v>#N/A</v>
      </c>
      <c r="F19" s="71"/>
      <c r="G19" s="2"/>
      <c r="H19" s="71"/>
      <c r="I19" s="2"/>
      <c r="J19" s="71"/>
      <c r="K19" s="2"/>
      <c r="L19" s="71"/>
      <c r="M19" s="2"/>
      <c r="N19" s="71"/>
      <c r="O19" s="2"/>
      <c r="P19" s="71"/>
      <c r="Q19" s="2"/>
      <c r="R19" s="72">
        <v>3</v>
      </c>
      <c r="S19" s="73">
        <v>3</v>
      </c>
      <c r="T19" s="74"/>
      <c r="U19" s="73">
        <v>3</v>
      </c>
      <c r="V19" s="73">
        <v>3</v>
      </c>
      <c r="W19" s="74"/>
      <c r="X19" s="72">
        <v>1</v>
      </c>
      <c r="Y19" s="73">
        <v>1</v>
      </c>
      <c r="Z19" s="74"/>
      <c r="AA19" s="72">
        <v>3</v>
      </c>
      <c r="AB19" s="73">
        <v>3</v>
      </c>
      <c r="AC19" s="74"/>
      <c r="AD19" s="73">
        <v>4</v>
      </c>
      <c r="AE19" s="73">
        <v>3</v>
      </c>
      <c r="AF19" s="74"/>
      <c r="AG19" s="72">
        <v>4</v>
      </c>
      <c r="AH19" s="73">
        <v>4</v>
      </c>
      <c r="AI19" s="74"/>
      <c r="AJ19" s="72">
        <v>2</v>
      </c>
      <c r="AK19" s="73">
        <v>2</v>
      </c>
      <c r="AL19" s="74"/>
      <c r="AM19" s="72" t="e">
        <v>#N/A</v>
      </c>
      <c r="AN19" s="73" t="e">
        <v>#N/A</v>
      </c>
      <c r="AO19" s="74"/>
      <c r="AP19" s="72"/>
      <c r="AQ19" s="73"/>
      <c r="AR19" s="74"/>
      <c r="AS19" s="72"/>
      <c r="AT19" s="73"/>
      <c r="AU19" s="74"/>
      <c r="AV19" s="72"/>
      <c r="AW19" s="73"/>
      <c r="AX19" s="74"/>
      <c r="AY19" s="2" t="s">
        <v>1214</v>
      </c>
    </row>
    <row r="20" spans="1:51" x14ac:dyDescent="0.25">
      <c r="A20" s="2" t="s">
        <v>354</v>
      </c>
      <c r="B20" s="2" t="s">
        <v>1207</v>
      </c>
      <c r="C20" s="2" t="s">
        <v>1208</v>
      </c>
      <c r="D20" s="71" t="e">
        <v>#N/A</v>
      </c>
      <c r="E20" s="2" t="e">
        <v>#N/A</v>
      </c>
      <c r="F20" s="71"/>
      <c r="G20" s="2"/>
      <c r="H20" s="71"/>
      <c r="I20" s="2"/>
      <c r="J20" s="71"/>
      <c r="K20" s="2"/>
      <c r="L20" s="71"/>
      <c r="M20" s="2"/>
      <c r="N20" s="71"/>
      <c r="O20" s="2"/>
      <c r="P20" s="71"/>
      <c r="Q20" s="2"/>
      <c r="R20" s="72" t="e">
        <v>#N/A</v>
      </c>
      <c r="S20" s="72" t="e">
        <v>#N/A</v>
      </c>
      <c r="T20" s="74"/>
      <c r="U20" s="72" t="e">
        <v>#N/A</v>
      </c>
      <c r="V20" s="72" t="e">
        <v>#N/A</v>
      </c>
      <c r="W20" s="74"/>
      <c r="X20" s="72" t="e">
        <v>#N/A</v>
      </c>
      <c r="Y20" s="72" t="e">
        <v>#N/A</v>
      </c>
      <c r="Z20" s="74"/>
      <c r="AA20" s="72" t="e">
        <v>#N/A</v>
      </c>
      <c r="AB20" s="72" t="e">
        <v>#N/A</v>
      </c>
      <c r="AC20" s="74"/>
      <c r="AD20" s="73" t="e">
        <v>#N/A</v>
      </c>
      <c r="AE20" s="73" t="e">
        <v>#N/A</v>
      </c>
      <c r="AF20" s="74"/>
      <c r="AG20" s="72" t="e">
        <v>#N/A</v>
      </c>
      <c r="AH20" s="73" t="e">
        <v>#N/A</v>
      </c>
      <c r="AI20" s="74"/>
      <c r="AJ20" s="72" t="e">
        <v>#N/A</v>
      </c>
      <c r="AK20" s="73" t="e">
        <v>#N/A</v>
      </c>
      <c r="AL20" s="74"/>
      <c r="AM20" s="72" t="e">
        <v>#N/A</v>
      </c>
      <c r="AN20" s="73" t="e">
        <v>#N/A</v>
      </c>
      <c r="AO20" s="74"/>
      <c r="AP20" s="72"/>
      <c r="AQ20" s="72"/>
      <c r="AR20" s="74"/>
      <c r="AS20" s="72"/>
      <c r="AT20" s="72"/>
      <c r="AU20" s="74"/>
      <c r="AV20" s="72"/>
      <c r="AW20" s="72"/>
      <c r="AX20" s="74"/>
      <c r="AY20" s="2" t="s">
        <v>1232</v>
      </c>
    </row>
    <row r="21" spans="1:51" x14ac:dyDescent="0.25">
      <c r="A21" s="2" t="s">
        <v>355</v>
      </c>
      <c r="B21" s="2" t="s">
        <v>1207</v>
      </c>
      <c r="C21" s="2" t="s">
        <v>1208</v>
      </c>
      <c r="D21" s="71" t="e">
        <v>#N/A</v>
      </c>
      <c r="E21" s="2" t="e">
        <v>#N/A</v>
      </c>
      <c r="F21" s="71"/>
      <c r="G21" s="2"/>
      <c r="H21" s="71"/>
      <c r="I21" s="2"/>
      <c r="J21" s="71"/>
      <c r="K21" s="2"/>
      <c r="L21" s="71"/>
      <c r="M21" s="2"/>
      <c r="N21" s="71"/>
      <c r="O21" s="2"/>
      <c r="P21" s="71"/>
      <c r="Q21" s="2"/>
      <c r="R21" s="72">
        <v>3</v>
      </c>
      <c r="S21" s="73">
        <v>2</v>
      </c>
      <c r="T21" s="74"/>
      <c r="U21" s="72" t="e">
        <v>#N/A</v>
      </c>
      <c r="V21" s="72" t="e">
        <v>#N/A</v>
      </c>
      <c r="W21" s="74"/>
      <c r="X21" s="72" t="e">
        <v>#N/A</v>
      </c>
      <c r="Y21" s="72" t="e">
        <v>#N/A</v>
      </c>
      <c r="Z21" s="74"/>
      <c r="AA21" s="72" t="e">
        <v>#N/A</v>
      </c>
      <c r="AB21" s="72" t="e">
        <v>#N/A</v>
      </c>
      <c r="AC21" s="74"/>
      <c r="AD21" s="73" t="e">
        <v>#N/A</v>
      </c>
      <c r="AE21" s="73" t="e">
        <v>#N/A</v>
      </c>
      <c r="AF21" s="74"/>
      <c r="AG21" s="72" t="e">
        <v>#N/A</v>
      </c>
      <c r="AH21" s="73" t="e">
        <v>#N/A</v>
      </c>
      <c r="AI21" s="74"/>
      <c r="AJ21" s="72" t="e">
        <v>#N/A</v>
      </c>
      <c r="AK21" s="73" t="e">
        <v>#N/A</v>
      </c>
      <c r="AL21" s="74"/>
      <c r="AM21" s="72" t="e">
        <v>#N/A</v>
      </c>
      <c r="AN21" s="73" t="e">
        <v>#N/A</v>
      </c>
      <c r="AO21" s="74"/>
      <c r="AP21" s="72"/>
      <c r="AQ21" s="72"/>
      <c r="AR21" s="74"/>
      <c r="AS21" s="72"/>
      <c r="AT21" s="72"/>
      <c r="AU21" s="74"/>
      <c r="AV21" s="72"/>
      <c r="AW21" s="72"/>
      <c r="AX21" s="74"/>
      <c r="AY21" s="2" t="s">
        <v>1232</v>
      </c>
    </row>
    <row r="22" spans="1:51" x14ac:dyDescent="0.25">
      <c r="A22" s="2" t="s">
        <v>358</v>
      </c>
      <c r="B22" s="2" t="s">
        <v>1217</v>
      </c>
      <c r="C22" s="2" t="s">
        <v>1208</v>
      </c>
      <c r="D22" s="71">
        <v>3</v>
      </c>
      <c r="E22" s="2">
        <v>3</v>
      </c>
      <c r="F22" s="71"/>
      <c r="G22" s="2"/>
      <c r="H22" s="71"/>
      <c r="I22" s="2"/>
      <c r="J22" s="71"/>
      <c r="K22" s="2"/>
      <c r="L22" s="71"/>
      <c r="M22" s="2"/>
      <c r="N22" s="71"/>
      <c r="O22" s="2"/>
      <c r="P22" s="71"/>
      <c r="Q22" s="2"/>
      <c r="R22" s="72" t="e">
        <v>#N/A</v>
      </c>
      <c r="S22" s="72" t="e">
        <v>#N/A</v>
      </c>
      <c r="T22" s="74"/>
      <c r="U22" s="72" t="e">
        <v>#N/A</v>
      </c>
      <c r="V22" s="72" t="e">
        <v>#N/A</v>
      </c>
      <c r="W22" s="74"/>
      <c r="X22" s="72" t="e">
        <v>#N/A</v>
      </c>
      <c r="Y22" s="72" t="e">
        <v>#N/A</v>
      </c>
      <c r="Z22" s="74"/>
      <c r="AA22" s="72" t="e">
        <v>#N/A</v>
      </c>
      <c r="AB22" s="72" t="e">
        <v>#N/A</v>
      </c>
      <c r="AC22" s="74"/>
      <c r="AD22" s="73" t="e">
        <v>#N/A</v>
      </c>
      <c r="AE22" s="73" t="e">
        <v>#N/A</v>
      </c>
      <c r="AF22" s="74"/>
      <c r="AG22" s="72" t="e">
        <v>#N/A</v>
      </c>
      <c r="AH22" s="73" t="e">
        <v>#N/A</v>
      </c>
      <c r="AI22" s="74"/>
      <c r="AJ22" s="72" t="e">
        <v>#N/A</v>
      </c>
      <c r="AK22" s="73" t="e">
        <v>#N/A</v>
      </c>
      <c r="AL22" s="74"/>
      <c r="AM22" s="72" t="e">
        <v>#N/A</v>
      </c>
      <c r="AN22" s="73" t="e">
        <v>#N/A</v>
      </c>
      <c r="AO22" s="74"/>
      <c r="AP22" s="72"/>
      <c r="AQ22" s="72"/>
      <c r="AR22" s="74"/>
      <c r="AS22" s="72"/>
      <c r="AT22" s="72"/>
      <c r="AU22" s="74"/>
      <c r="AV22" s="72"/>
      <c r="AW22" s="72"/>
      <c r="AX22" s="74"/>
      <c r="AY22" s="2" t="s">
        <v>1232</v>
      </c>
    </row>
    <row r="23" spans="1:51" x14ac:dyDescent="0.25">
      <c r="A23" s="2" t="s">
        <v>1233</v>
      </c>
      <c r="B23" s="2" t="s">
        <v>1213</v>
      </c>
      <c r="C23" s="2" t="s">
        <v>57</v>
      </c>
      <c r="D23" s="71" t="e">
        <v>#N/A</v>
      </c>
      <c r="E23" s="2" t="e">
        <v>#N/A</v>
      </c>
      <c r="F23" s="71"/>
      <c r="G23" s="2"/>
      <c r="H23" s="71"/>
      <c r="I23" s="2"/>
      <c r="J23" s="71"/>
      <c r="K23" s="2"/>
      <c r="L23" s="71"/>
      <c r="M23" s="2"/>
      <c r="N23" s="71"/>
      <c r="O23" s="2"/>
      <c r="P23" s="71"/>
      <c r="Q23" s="2"/>
      <c r="R23" s="72">
        <v>4</v>
      </c>
      <c r="S23" s="73">
        <v>4</v>
      </c>
      <c r="T23" s="74"/>
      <c r="U23" s="73">
        <v>4</v>
      </c>
      <c r="V23" s="73">
        <v>4</v>
      </c>
      <c r="W23" s="74"/>
      <c r="X23" s="72">
        <v>4</v>
      </c>
      <c r="Y23" s="73">
        <v>4</v>
      </c>
      <c r="Z23" s="74"/>
      <c r="AA23" s="72">
        <v>4</v>
      </c>
      <c r="AB23" s="73">
        <v>4</v>
      </c>
      <c r="AC23" s="74"/>
      <c r="AD23" s="73" t="e">
        <v>#N/A</v>
      </c>
      <c r="AE23" s="73" t="e">
        <v>#N/A</v>
      </c>
      <c r="AF23" s="74"/>
      <c r="AG23" s="72" t="e">
        <v>#N/A</v>
      </c>
      <c r="AH23" s="73" t="e">
        <v>#N/A</v>
      </c>
      <c r="AI23" s="74"/>
      <c r="AJ23" s="72" t="e">
        <v>#N/A</v>
      </c>
      <c r="AK23" s="73" t="e">
        <v>#N/A</v>
      </c>
      <c r="AL23" s="74"/>
      <c r="AM23" s="72" t="e">
        <v>#N/A</v>
      </c>
      <c r="AN23" s="73" t="e">
        <v>#N/A</v>
      </c>
      <c r="AO23" s="74"/>
      <c r="AP23" s="72"/>
      <c r="AQ23" s="73"/>
      <c r="AR23" s="74"/>
      <c r="AS23" s="72"/>
      <c r="AT23" s="73"/>
      <c r="AU23" s="74"/>
      <c r="AV23" s="72"/>
      <c r="AW23" s="73"/>
      <c r="AX23" s="74"/>
      <c r="AY23" s="2" t="s">
        <v>1214</v>
      </c>
    </row>
    <row r="24" spans="1:51" x14ac:dyDescent="0.25">
      <c r="A24" s="2" t="s">
        <v>1234</v>
      </c>
      <c r="B24" s="2" t="s">
        <v>1213</v>
      </c>
      <c r="C24" s="2" t="s">
        <v>57</v>
      </c>
      <c r="D24" s="71" t="e">
        <v>#N/A</v>
      </c>
      <c r="E24" s="2" t="e">
        <v>#N/A</v>
      </c>
      <c r="F24" s="71"/>
      <c r="G24" s="2"/>
      <c r="H24" s="71"/>
      <c r="I24" s="2"/>
      <c r="J24" s="71"/>
      <c r="K24" s="2"/>
      <c r="L24" s="71"/>
      <c r="M24" s="2"/>
      <c r="N24" s="71"/>
      <c r="O24" s="2"/>
      <c r="P24" s="71"/>
      <c r="Q24" s="2"/>
      <c r="R24" s="72">
        <v>3</v>
      </c>
      <c r="S24" s="73">
        <v>3</v>
      </c>
      <c r="T24" s="74"/>
      <c r="U24" s="73">
        <v>3</v>
      </c>
      <c r="V24" s="73">
        <v>3</v>
      </c>
      <c r="W24" s="74"/>
      <c r="X24" s="72">
        <v>1</v>
      </c>
      <c r="Y24" s="73">
        <v>1</v>
      </c>
      <c r="Z24" s="74"/>
      <c r="AA24" s="72">
        <v>3</v>
      </c>
      <c r="AB24" s="73">
        <v>3</v>
      </c>
      <c r="AC24" s="74"/>
      <c r="AD24" s="73">
        <v>4</v>
      </c>
      <c r="AE24" s="73">
        <v>4</v>
      </c>
      <c r="AF24" s="74"/>
      <c r="AG24" s="72">
        <v>4</v>
      </c>
      <c r="AH24" s="73">
        <v>4</v>
      </c>
      <c r="AI24" s="74"/>
      <c r="AJ24" s="72" t="s">
        <v>174</v>
      </c>
      <c r="AK24" s="73" t="s">
        <v>174</v>
      </c>
      <c r="AL24" s="74"/>
      <c r="AM24" s="72" t="e">
        <v>#N/A</v>
      </c>
      <c r="AN24" s="73" t="e">
        <v>#N/A</v>
      </c>
      <c r="AO24" s="74"/>
      <c r="AP24" s="72"/>
      <c r="AQ24" s="73"/>
      <c r="AR24" s="74"/>
      <c r="AS24" s="72"/>
      <c r="AT24" s="73"/>
      <c r="AU24" s="74"/>
      <c r="AV24" s="72"/>
      <c r="AW24" s="73"/>
      <c r="AX24" s="74"/>
      <c r="AY24" s="2" t="s">
        <v>1214</v>
      </c>
    </row>
    <row r="25" spans="1:51" x14ac:dyDescent="0.25">
      <c r="A25" s="2" t="s">
        <v>1235</v>
      </c>
      <c r="B25" s="2" t="s">
        <v>1213</v>
      </c>
      <c r="C25" s="2" t="s">
        <v>57</v>
      </c>
      <c r="D25" s="71" t="e">
        <v>#N/A</v>
      </c>
      <c r="E25" s="2" t="e">
        <v>#N/A</v>
      </c>
      <c r="F25" s="71"/>
      <c r="G25" s="2"/>
      <c r="H25" s="71"/>
      <c r="I25" s="2"/>
      <c r="J25" s="71"/>
      <c r="K25" s="2"/>
      <c r="L25" s="71"/>
      <c r="M25" s="2"/>
      <c r="N25" s="71"/>
      <c r="O25" s="2"/>
      <c r="P25" s="71"/>
      <c r="Q25" s="2"/>
      <c r="R25" s="72">
        <v>3</v>
      </c>
      <c r="S25" s="73">
        <v>2</v>
      </c>
      <c r="T25" s="74"/>
      <c r="U25" s="73">
        <v>3</v>
      </c>
      <c r="V25" s="73">
        <v>3</v>
      </c>
      <c r="W25" s="74"/>
      <c r="X25" s="72">
        <v>3</v>
      </c>
      <c r="Y25" s="73">
        <v>3</v>
      </c>
      <c r="Z25" s="74"/>
      <c r="AA25" s="72">
        <v>3</v>
      </c>
      <c r="AB25" s="73">
        <v>3</v>
      </c>
      <c r="AC25" s="74"/>
      <c r="AD25" s="73">
        <v>4</v>
      </c>
      <c r="AE25" s="73">
        <v>4</v>
      </c>
      <c r="AF25" s="74"/>
      <c r="AG25" s="72">
        <v>4</v>
      </c>
      <c r="AH25" s="73">
        <v>4</v>
      </c>
      <c r="AI25" s="74"/>
      <c r="AJ25" s="72">
        <v>3</v>
      </c>
      <c r="AK25" s="73">
        <v>2</v>
      </c>
      <c r="AL25" s="74"/>
      <c r="AM25" s="72" t="e">
        <v>#N/A</v>
      </c>
      <c r="AN25" s="73" t="e">
        <v>#N/A</v>
      </c>
      <c r="AO25" s="74"/>
      <c r="AP25" s="72"/>
      <c r="AQ25" s="73"/>
      <c r="AR25" s="74"/>
      <c r="AS25" s="72"/>
      <c r="AT25" s="73"/>
      <c r="AU25" s="74"/>
      <c r="AV25" s="72"/>
      <c r="AW25" s="73"/>
      <c r="AX25" s="74"/>
      <c r="AY25" s="2" t="s">
        <v>1214</v>
      </c>
    </row>
    <row r="26" spans="1:51" x14ac:dyDescent="0.25">
      <c r="A26" s="70" t="s">
        <v>1018</v>
      </c>
      <c r="B26" s="70" t="s">
        <v>1217</v>
      </c>
      <c r="C26" s="2" t="s">
        <v>1208</v>
      </c>
      <c r="D26" s="71">
        <v>3</v>
      </c>
      <c r="E26" s="2">
        <v>3</v>
      </c>
      <c r="F26" s="71"/>
      <c r="G26" s="2"/>
      <c r="H26" s="71"/>
      <c r="I26" s="2"/>
      <c r="J26" s="71"/>
      <c r="K26" s="2"/>
      <c r="L26" s="71"/>
      <c r="M26" s="2"/>
      <c r="N26" s="71"/>
      <c r="O26" s="2"/>
      <c r="P26" s="71"/>
      <c r="Q26" s="2"/>
      <c r="R26" s="72">
        <v>4</v>
      </c>
      <c r="S26" s="73">
        <v>3</v>
      </c>
      <c r="T26" s="74">
        <v>3</v>
      </c>
      <c r="U26" s="72" t="e">
        <v>#N/A</v>
      </c>
      <c r="V26" s="72" t="e">
        <v>#N/A</v>
      </c>
      <c r="W26" s="74"/>
      <c r="X26" s="72" t="e">
        <v>#N/A</v>
      </c>
      <c r="Y26" s="72" t="e">
        <v>#N/A</v>
      </c>
      <c r="Z26" s="74"/>
      <c r="AA26" s="72" t="e">
        <v>#N/A</v>
      </c>
      <c r="AB26" s="72" t="e">
        <v>#N/A</v>
      </c>
      <c r="AC26" s="74"/>
      <c r="AD26" s="73" t="e">
        <v>#N/A</v>
      </c>
      <c r="AE26" s="73" t="e">
        <v>#N/A</v>
      </c>
      <c r="AF26" s="74"/>
      <c r="AG26" s="72" t="e">
        <v>#N/A</v>
      </c>
      <c r="AH26" s="73" t="e">
        <v>#N/A</v>
      </c>
      <c r="AI26" s="74"/>
      <c r="AJ26" s="72" t="e">
        <v>#N/A</v>
      </c>
      <c r="AK26" s="73" t="e">
        <v>#N/A</v>
      </c>
      <c r="AL26" s="74"/>
      <c r="AM26" s="72" t="e">
        <v>#N/A</v>
      </c>
      <c r="AN26" s="73" t="e">
        <v>#N/A</v>
      </c>
      <c r="AO26" s="74"/>
      <c r="AP26" s="72"/>
      <c r="AQ26" s="72"/>
      <c r="AR26" s="74"/>
      <c r="AS26" s="72"/>
      <c r="AT26" s="72"/>
      <c r="AU26" s="74"/>
      <c r="AV26" s="72"/>
      <c r="AW26" s="72"/>
      <c r="AX26" s="74"/>
      <c r="AY26" s="2" t="s">
        <v>1236</v>
      </c>
    </row>
    <row r="27" spans="1:51" x14ac:dyDescent="0.25">
      <c r="A27" s="75" t="s">
        <v>1019</v>
      </c>
      <c r="B27" s="75" t="s">
        <v>1217</v>
      </c>
      <c r="C27" s="2" t="s">
        <v>1208</v>
      </c>
      <c r="D27" s="71">
        <v>4</v>
      </c>
      <c r="E27" s="2">
        <v>4</v>
      </c>
      <c r="F27" s="71"/>
      <c r="G27" s="2"/>
      <c r="H27" s="71"/>
      <c r="I27" s="2"/>
      <c r="J27" s="71"/>
      <c r="K27" s="2"/>
      <c r="L27" s="71"/>
      <c r="M27" s="2"/>
      <c r="N27" s="71"/>
      <c r="O27" s="2"/>
      <c r="P27" s="71"/>
      <c r="Q27" s="2"/>
      <c r="R27" s="72">
        <v>4</v>
      </c>
      <c r="S27" s="73">
        <v>4</v>
      </c>
      <c r="T27" s="74"/>
      <c r="U27" s="73">
        <v>3</v>
      </c>
      <c r="V27" s="73">
        <v>3</v>
      </c>
      <c r="W27" s="74"/>
      <c r="X27" s="72" t="e">
        <v>#N/A</v>
      </c>
      <c r="Y27" s="72" t="e">
        <v>#N/A</v>
      </c>
      <c r="Z27" s="74"/>
      <c r="AA27" s="72" t="e">
        <v>#N/A</v>
      </c>
      <c r="AB27" s="72" t="e">
        <v>#N/A</v>
      </c>
      <c r="AC27" s="74"/>
      <c r="AD27" s="73">
        <v>3</v>
      </c>
      <c r="AE27" s="73">
        <v>3</v>
      </c>
      <c r="AF27" s="74"/>
      <c r="AG27" s="72">
        <v>4</v>
      </c>
      <c r="AH27" s="73">
        <v>3</v>
      </c>
      <c r="AI27" s="74"/>
      <c r="AJ27" s="72">
        <v>3</v>
      </c>
      <c r="AK27" s="73">
        <v>3</v>
      </c>
      <c r="AL27" s="74"/>
      <c r="AM27" s="72">
        <v>3</v>
      </c>
      <c r="AN27" s="73">
        <v>3</v>
      </c>
      <c r="AO27" s="74"/>
      <c r="AP27" s="72"/>
      <c r="AQ27" s="72"/>
      <c r="AR27" s="74"/>
      <c r="AS27" s="72"/>
      <c r="AT27" s="72"/>
      <c r="AU27" s="74"/>
      <c r="AV27" s="72"/>
      <c r="AW27" s="72"/>
      <c r="AX27" s="74"/>
      <c r="AY27" s="2" t="s">
        <v>114</v>
      </c>
    </row>
    <row r="28" spans="1:51" x14ac:dyDescent="0.25">
      <c r="A28" s="2" t="s">
        <v>1237</v>
      </c>
      <c r="B28" s="2" t="s">
        <v>1213</v>
      </c>
      <c r="C28" s="2" t="s">
        <v>57</v>
      </c>
      <c r="D28" s="71" t="e">
        <v>#N/A</v>
      </c>
      <c r="E28" s="2" t="e">
        <v>#N/A</v>
      </c>
      <c r="F28" s="71"/>
      <c r="G28" s="2"/>
      <c r="H28" s="71"/>
      <c r="I28" s="2"/>
      <c r="J28" s="71"/>
      <c r="K28" s="2"/>
      <c r="L28" s="71"/>
      <c r="M28" s="2"/>
      <c r="N28" s="71"/>
      <c r="O28" s="2"/>
      <c r="P28" s="71"/>
      <c r="Q28" s="2"/>
      <c r="R28" s="72" t="e">
        <v>#N/A</v>
      </c>
      <c r="S28" s="72" t="e">
        <v>#N/A</v>
      </c>
      <c r="T28" s="74"/>
      <c r="U28" s="72" t="e">
        <v>#N/A</v>
      </c>
      <c r="V28" s="72" t="e">
        <v>#N/A</v>
      </c>
      <c r="W28" s="74"/>
      <c r="X28" s="72" t="e">
        <v>#N/A</v>
      </c>
      <c r="Y28" s="72" t="e">
        <v>#N/A</v>
      </c>
      <c r="Z28" s="74"/>
      <c r="AA28" s="72" t="e">
        <v>#N/A</v>
      </c>
      <c r="AB28" s="72" t="e">
        <v>#N/A</v>
      </c>
      <c r="AC28" s="74"/>
      <c r="AD28" s="73">
        <v>4</v>
      </c>
      <c r="AE28" s="73">
        <v>4</v>
      </c>
      <c r="AF28" s="74"/>
      <c r="AG28" s="72">
        <v>4</v>
      </c>
      <c r="AH28" s="73">
        <v>4</v>
      </c>
      <c r="AI28" s="74"/>
      <c r="AJ28" s="72" t="e">
        <v>#N/A</v>
      </c>
      <c r="AK28" s="73" t="e">
        <v>#N/A</v>
      </c>
      <c r="AL28" s="74"/>
      <c r="AM28" s="72">
        <v>3</v>
      </c>
      <c r="AN28" s="73">
        <v>2</v>
      </c>
      <c r="AO28" s="74"/>
      <c r="AP28" s="72"/>
      <c r="AQ28" s="72"/>
      <c r="AR28" s="74"/>
      <c r="AS28" s="72"/>
      <c r="AT28" s="72"/>
      <c r="AU28" s="74"/>
      <c r="AV28" s="72"/>
      <c r="AW28" s="72"/>
      <c r="AX28" s="74"/>
      <c r="AY28" s="2" t="s">
        <v>1214</v>
      </c>
    </row>
    <row r="29" spans="1:51" x14ac:dyDescent="0.25">
      <c r="A29" s="2" t="s">
        <v>1238</v>
      </c>
      <c r="B29" s="2" t="s">
        <v>1226</v>
      </c>
      <c r="C29" s="2" t="s">
        <v>1208</v>
      </c>
      <c r="D29" s="71" t="e">
        <v>#N/A</v>
      </c>
      <c r="E29" s="2" t="e">
        <v>#N/A</v>
      </c>
      <c r="F29" s="71"/>
      <c r="G29" s="2"/>
      <c r="H29" s="71"/>
      <c r="I29" s="2"/>
      <c r="J29" s="71"/>
      <c r="K29" s="2"/>
      <c r="L29" s="71"/>
      <c r="M29" s="2"/>
      <c r="N29" s="71"/>
      <c r="O29" s="2"/>
      <c r="P29" s="71"/>
      <c r="Q29" s="2"/>
      <c r="R29" s="72" t="e">
        <v>#N/A</v>
      </c>
      <c r="S29" s="72" t="e">
        <v>#N/A</v>
      </c>
      <c r="T29" s="74"/>
      <c r="U29" s="73">
        <v>3</v>
      </c>
      <c r="V29" s="73">
        <v>3</v>
      </c>
      <c r="W29" s="74"/>
      <c r="X29" s="72">
        <v>3</v>
      </c>
      <c r="Y29" s="73">
        <v>3</v>
      </c>
      <c r="Z29" s="74"/>
      <c r="AA29" s="72">
        <v>4</v>
      </c>
      <c r="AB29" s="73">
        <v>3</v>
      </c>
      <c r="AC29" s="74"/>
      <c r="AD29" s="73" t="e">
        <v>#N/A</v>
      </c>
      <c r="AE29" s="73" t="e">
        <v>#N/A</v>
      </c>
      <c r="AF29" s="74"/>
      <c r="AG29" s="72" t="e">
        <v>#N/A</v>
      </c>
      <c r="AH29" s="73" t="e">
        <v>#N/A</v>
      </c>
      <c r="AI29" s="74"/>
      <c r="AJ29" s="72" t="e">
        <v>#N/A</v>
      </c>
      <c r="AK29" s="73" t="e">
        <v>#N/A</v>
      </c>
      <c r="AL29" s="74"/>
      <c r="AM29" s="72" t="e">
        <v>#N/A</v>
      </c>
      <c r="AN29" s="73" t="e">
        <v>#N/A</v>
      </c>
      <c r="AO29" s="74"/>
      <c r="AP29" s="72"/>
      <c r="AQ29" s="73"/>
      <c r="AR29" s="74"/>
      <c r="AS29" s="72"/>
      <c r="AT29" s="73"/>
      <c r="AU29" s="74"/>
      <c r="AV29" s="72"/>
      <c r="AW29" s="73"/>
      <c r="AX29" s="74"/>
      <c r="AY29" s="2" t="s">
        <v>653</v>
      </c>
    </row>
    <row r="30" spans="1:51" x14ac:dyDescent="0.25">
      <c r="A30" s="2" t="s">
        <v>1239</v>
      </c>
      <c r="B30" s="2" t="s">
        <v>1213</v>
      </c>
      <c r="C30" s="2" t="s">
        <v>57</v>
      </c>
      <c r="D30" s="71" t="e">
        <v>#N/A</v>
      </c>
      <c r="E30" s="2" t="e">
        <v>#N/A</v>
      </c>
      <c r="F30" s="71"/>
      <c r="G30" s="2"/>
      <c r="H30" s="71"/>
      <c r="I30" s="2"/>
      <c r="J30" s="71"/>
      <c r="K30" s="2"/>
      <c r="L30" s="71"/>
      <c r="M30" s="2"/>
      <c r="N30" s="71"/>
      <c r="O30" s="2"/>
      <c r="P30" s="71"/>
      <c r="Q30" s="2"/>
      <c r="R30" s="72" t="e">
        <v>#N/A</v>
      </c>
      <c r="S30" s="72" t="e">
        <v>#N/A</v>
      </c>
      <c r="T30" s="74"/>
      <c r="U30" s="72" t="e">
        <v>#N/A</v>
      </c>
      <c r="V30" s="72" t="e">
        <v>#N/A</v>
      </c>
      <c r="W30" s="74"/>
      <c r="X30" s="72" t="e">
        <v>#N/A</v>
      </c>
      <c r="Y30" s="72" t="e">
        <v>#N/A</v>
      </c>
      <c r="Z30" s="74"/>
      <c r="AA30" s="72" t="e">
        <v>#N/A</v>
      </c>
      <c r="AB30" s="72" t="e">
        <v>#N/A</v>
      </c>
      <c r="AC30" s="74"/>
      <c r="AD30" s="73" t="e">
        <v>#N/A</v>
      </c>
      <c r="AE30" s="73" t="e">
        <v>#N/A</v>
      </c>
      <c r="AF30" s="74"/>
      <c r="AG30" s="72" t="e">
        <v>#N/A</v>
      </c>
      <c r="AH30" s="73" t="e">
        <v>#N/A</v>
      </c>
      <c r="AI30" s="74"/>
      <c r="AJ30" s="72" t="e">
        <v>#N/A</v>
      </c>
      <c r="AK30" s="73" t="e">
        <v>#N/A</v>
      </c>
      <c r="AL30" s="74"/>
      <c r="AM30" s="72" t="e">
        <v>#N/A</v>
      </c>
      <c r="AN30" s="73" t="e">
        <v>#N/A</v>
      </c>
      <c r="AO30" s="74"/>
      <c r="AP30" s="72"/>
      <c r="AQ30" s="72"/>
      <c r="AR30" s="74"/>
      <c r="AS30" s="72"/>
      <c r="AT30" s="72"/>
      <c r="AU30" s="74"/>
      <c r="AV30" s="72"/>
      <c r="AW30" s="72"/>
      <c r="AX30" s="74"/>
      <c r="AY30" s="2" t="s">
        <v>1214</v>
      </c>
    </row>
    <row r="31" spans="1:51" x14ac:dyDescent="0.25">
      <c r="A31" s="2" t="s">
        <v>1240</v>
      </c>
      <c r="B31" s="2" t="s">
        <v>1213</v>
      </c>
      <c r="C31" s="2" t="s">
        <v>57</v>
      </c>
      <c r="D31" s="71" t="e">
        <v>#N/A</v>
      </c>
      <c r="E31" s="2" t="e">
        <v>#N/A</v>
      </c>
      <c r="F31" s="71"/>
      <c r="G31" s="2"/>
      <c r="H31" s="71"/>
      <c r="I31" s="2"/>
      <c r="J31" s="71"/>
      <c r="K31" s="2"/>
      <c r="L31" s="71"/>
      <c r="M31" s="2"/>
      <c r="N31" s="71"/>
      <c r="O31" s="2"/>
      <c r="P31" s="71"/>
      <c r="Q31" s="2"/>
      <c r="R31" s="72" t="e">
        <v>#N/A</v>
      </c>
      <c r="S31" s="72" t="e">
        <v>#N/A</v>
      </c>
      <c r="T31" s="74"/>
      <c r="U31" s="73">
        <v>4</v>
      </c>
      <c r="V31" s="73">
        <v>4</v>
      </c>
      <c r="W31" s="74"/>
      <c r="X31" s="72" t="e">
        <v>#N/A</v>
      </c>
      <c r="Y31" s="72" t="e">
        <v>#N/A</v>
      </c>
      <c r="Z31" s="74"/>
      <c r="AA31" s="72" t="e">
        <v>#N/A</v>
      </c>
      <c r="AB31" s="72" t="e">
        <v>#N/A</v>
      </c>
      <c r="AC31" s="74"/>
      <c r="AD31" s="73" t="e">
        <v>#N/A</v>
      </c>
      <c r="AE31" s="73" t="e">
        <v>#N/A</v>
      </c>
      <c r="AF31" s="74"/>
      <c r="AG31" s="72" t="e">
        <v>#N/A</v>
      </c>
      <c r="AH31" s="73" t="e">
        <v>#N/A</v>
      </c>
      <c r="AI31" s="74"/>
      <c r="AJ31" s="72">
        <v>3</v>
      </c>
      <c r="AK31" s="73">
        <v>2</v>
      </c>
      <c r="AL31" s="74"/>
      <c r="AM31" s="72">
        <v>3</v>
      </c>
      <c r="AN31" s="73">
        <v>2</v>
      </c>
      <c r="AO31" s="74"/>
      <c r="AP31" s="72"/>
      <c r="AQ31" s="72"/>
      <c r="AR31" s="74"/>
      <c r="AS31" s="72"/>
      <c r="AT31" s="72"/>
      <c r="AU31" s="74"/>
      <c r="AV31" s="72"/>
      <c r="AW31" s="72"/>
      <c r="AX31" s="74"/>
      <c r="AY31" s="2" t="s">
        <v>1214</v>
      </c>
    </row>
    <row r="32" spans="1:51" x14ac:dyDescent="0.25">
      <c r="A32" s="2" t="s">
        <v>545</v>
      </c>
      <c r="B32" s="2" t="s">
        <v>1213</v>
      </c>
      <c r="C32" s="2" t="s">
        <v>57</v>
      </c>
      <c r="D32" s="71" t="e">
        <v>#N/A</v>
      </c>
      <c r="E32" s="2" t="e">
        <v>#N/A</v>
      </c>
      <c r="F32" s="71"/>
      <c r="G32" s="2"/>
      <c r="H32" s="71"/>
      <c r="I32" s="2"/>
      <c r="J32" s="71"/>
      <c r="K32" s="2"/>
      <c r="L32" s="71"/>
      <c r="M32" s="2"/>
      <c r="N32" s="71"/>
      <c r="O32" s="2"/>
      <c r="P32" s="71"/>
      <c r="Q32" s="2"/>
      <c r="R32" s="72" t="e">
        <v>#N/A</v>
      </c>
      <c r="S32" s="72" t="e">
        <v>#N/A</v>
      </c>
      <c r="T32" s="74"/>
      <c r="U32" s="73">
        <v>4</v>
      </c>
      <c r="V32" s="73">
        <v>4</v>
      </c>
      <c r="W32" s="74"/>
      <c r="X32" s="72" t="e">
        <v>#N/A</v>
      </c>
      <c r="Y32" s="72" t="e">
        <v>#N/A</v>
      </c>
      <c r="Z32" s="74"/>
      <c r="AA32" s="72" t="e">
        <v>#N/A</v>
      </c>
      <c r="AB32" s="72" t="e">
        <v>#N/A</v>
      </c>
      <c r="AC32" s="74"/>
      <c r="AD32" s="73" t="e">
        <v>#N/A</v>
      </c>
      <c r="AE32" s="73" t="e">
        <v>#N/A</v>
      </c>
      <c r="AF32" s="74"/>
      <c r="AG32" s="72" t="e">
        <v>#N/A</v>
      </c>
      <c r="AH32" s="73" t="e">
        <v>#N/A</v>
      </c>
      <c r="AI32" s="74"/>
      <c r="AJ32" s="72">
        <v>3</v>
      </c>
      <c r="AK32" s="73">
        <v>2</v>
      </c>
      <c r="AL32" s="74"/>
      <c r="AM32" s="72">
        <v>3</v>
      </c>
      <c r="AN32" s="73">
        <v>2</v>
      </c>
      <c r="AO32" s="74"/>
      <c r="AP32" s="72"/>
      <c r="AQ32" s="72"/>
      <c r="AR32" s="74"/>
      <c r="AS32" s="72"/>
      <c r="AT32" s="72"/>
      <c r="AU32" s="74"/>
      <c r="AV32" s="72"/>
      <c r="AW32" s="72"/>
      <c r="AX32" s="74"/>
      <c r="AY32" s="2" t="s">
        <v>1214</v>
      </c>
    </row>
    <row r="33" spans="1:51" x14ac:dyDescent="0.25">
      <c r="A33" s="70" t="s">
        <v>1031</v>
      </c>
      <c r="B33" s="70" t="s">
        <v>1223</v>
      </c>
      <c r="C33" s="2" t="s">
        <v>1208</v>
      </c>
      <c r="D33" s="71" t="e">
        <v>#N/A</v>
      </c>
      <c r="E33" s="2" t="e">
        <v>#N/A</v>
      </c>
      <c r="F33" s="71"/>
      <c r="G33" s="2"/>
      <c r="H33" s="71"/>
      <c r="I33" s="2"/>
      <c r="J33" s="71"/>
      <c r="K33" s="2"/>
      <c r="L33" s="71"/>
      <c r="M33" s="2"/>
      <c r="N33" s="71"/>
      <c r="O33" s="2"/>
      <c r="P33" s="71"/>
      <c r="Q33" s="2"/>
      <c r="R33" s="72" t="e">
        <v>#N/A</v>
      </c>
      <c r="S33" s="72" t="e">
        <v>#N/A</v>
      </c>
      <c r="T33" s="74"/>
      <c r="U33" s="72" t="e">
        <v>#N/A</v>
      </c>
      <c r="V33" s="72" t="e">
        <v>#N/A</v>
      </c>
      <c r="W33" s="74"/>
      <c r="X33" s="72">
        <v>4</v>
      </c>
      <c r="Y33" s="73">
        <v>4</v>
      </c>
      <c r="Z33" s="74"/>
      <c r="AA33" s="72" t="e">
        <v>#N/A</v>
      </c>
      <c r="AB33" s="72" t="e">
        <v>#N/A</v>
      </c>
      <c r="AC33" s="74"/>
      <c r="AD33" s="73" t="e">
        <v>#N/A</v>
      </c>
      <c r="AE33" s="73" t="e">
        <v>#N/A</v>
      </c>
      <c r="AF33" s="74"/>
      <c r="AG33" s="72" t="e">
        <v>#N/A</v>
      </c>
      <c r="AH33" s="73" t="e">
        <v>#N/A</v>
      </c>
      <c r="AI33" s="74"/>
      <c r="AJ33" s="72" t="e">
        <v>#N/A</v>
      </c>
      <c r="AK33" s="73" t="e">
        <v>#N/A</v>
      </c>
      <c r="AL33" s="74"/>
      <c r="AM33" s="72" t="e">
        <v>#N/A</v>
      </c>
      <c r="AN33" s="73" t="e">
        <v>#N/A</v>
      </c>
      <c r="AO33" s="74"/>
      <c r="AP33" s="72"/>
      <c r="AQ33" s="72"/>
      <c r="AR33" s="74"/>
      <c r="AS33" s="72"/>
      <c r="AT33" s="72"/>
      <c r="AU33" s="74"/>
      <c r="AV33" s="72"/>
      <c r="AW33" s="72"/>
      <c r="AX33" s="74"/>
      <c r="AY33" s="2" t="s">
        <v>557</v>
      </c>
    </row>
    <row r="34" spans="1:51" x14ac:dyDescent="0.25">
      <c r="A34" s="2" t="s">
        <v>1241</v>
      </c>
      <c r="B34" s="2" t="s">
        <v>1213</v>
      </c>
      <c r="C34" s="2" t="s">
        <v>57</v>
      </c>
      <c r="D34" s="71">
        <v>3</v>
      </c>
      <c r="E34" s="2">
        <v>3</v>
      </c>
      <c r="F34" s="71"/>
      <c r="G34" s="2"/>
      <c r="H34" s="71"/>
      <c r="I34" s="2"/>
      <c r="J34" s="71"/>
      <c r="K34" s="2"/>
      <c r="L34" s="71"/>
      <c r="M34" s="2"/>
      <c r="N34" s="71"/>
      <c r="O34" s="2"/>
      <c r="P34" s="71"/>
      <c r="Q34" s="2"/>
      <c r="R34" s="72" t="e">
        <v>#N/A</v>
      </c>
      <c r="S34" s="72" t="e">
        <v>#N/A</v>
      </c>
      <c r="T34" s="74"/>
      <c r="U34" s="73">
        <v>4</v>
      </c>
      <c r="V34" s="73">
        <v>4</v>
      </c>
      <c r="W34" s="74"/>
      <c r="X34" s="72">
        <v>4</v>
      </c>
      <c r="Y34" s="73">
        <v>4</v>
      </c>
      <c r="Z34" s="74"/>
      <c r="AA34" s="72" t="e">
        <v>#N/A</v>
      </c>
      <c r="AB34" s="72" t="e">
        <v>#N/A</v>
      </c>
      <c r="AC34" s="74"/>
      <c r="AD34" s="73">
        <v>4</v>
      </c>
      <c r="AE34" s="73">
        <v>4</v>
      </c>
      <c r="AF34" s="74"/>
      <c r="AG34" s="72">
        <v>4</v>
      </c>
      <c r="AH34" s="73">
        <v>3</v>
      </c>
      <c r="AI34" s="74"/>
      <c r="AJ34" s="72">
        <v>3</v>
      </c>
      <c r="AK34" s="73">
        <v>3</v>
      </c>
      <c r="AL34" s="74"/>
      <c r="AM34" s="72">
        <v>3</v>
      </c>
      <c r="AN34" s="73">
        <v>3</v>
      </c>
      <c r="AO34" s="74"/>
      <c r="AP34" s="72"/>
      <c r="AQ34" s="72"/>
      <c r="AR34" s="74"/>
      <c r="AS34" s="72"/>
      <c r="AT34" s="72"/>
      <c r="AU34" s="74"/>
      <c r="AV34" s="72"/>
      <c r="AW34" s="72"/>
      <c r="AX34" s="74"/>
      <c r="AY34" s="2" t="s">
        <v>1242</v>
      </c>
    </row>
    <row r="35" spans="1:51" x14ac:dyDescent="0.25">
      <c r="A35" s="2" t="s">
        <v>1032</v>
      </c>
      <c r="B35" s="2" t="s">
        <v>1213</v>
      </c>
      <c r="C35" s="2" t="s">
        <v>57</v>
      </c>
      <c r="D35" s="71" t="e">
        <v>#N/A</v>
      </c>
      <c r="E35" s="2" t="e">
        <v>#N/A</v>
      </c>
      <c r="F35" s="71"/>
      <c r="G35" s="2"/>
      <c r="H35" s="71"/>
      <c r="I35" s="2"/>
      <c r="J35" s="71"/>
      <c r="K35" s="2"/>
      <c r="L35" s="71"/>
      <c r="M35" s="2"/>
      <c r="N35" s="71"/>
      <c r="O35" s="2"/>
      <c r="P35" s="71"/>
      <c r="Q35" s="2"/>
      <c r="R35" s="72" t="e">
        <v>#N/A</v>
      </c>
      <c r="S35" s="72" t="e">
        <v>#N/A</v>
      </c>
      <c r="T35" s="74"/>
      <c r="U35" s="73">
        <v>3</v>
      </c>
      <c r="V35" s="73">
        <v>3</v>
      </c>
      <c r="W35" s="74"/>
      <c r="X35" s="72" t="e">
        <v>#N/A</v>
      </c>
      <c r="Y35" s="72" t="e">
        <v>#N/A</v>
      </c>
      <c r="Z35" s="74"/>
      <c r="AA35" s="72" t="e">
        <v>#N/A</v>
      </c>
      <c r="AB35" s="72" t="e">
        <v>#N/A</v>
      </c>
      <c r="AC35" s="74"/>
      <c r="AD35" s="73" t="e">
        <v>#N/A</v>
      </c>
      <c r="AE35" s="73" t="e">
        <v>#N/A</v>
      </c>
      <c r="AF35" s="74"/>
      <c r="AG35" s="72" t="e">
        <v>#N/A</v>
      </c>
      <c r="AH35" s="73" t="e">
        <v>#N/A</v>
      </c>
      <c r="AI35" s="74"/>
      <c r="AJ35" s="72" t="e">
        <v>#N/A</v>
      </c>
      <c r="AK35" s="73" t="e">
        <v>#N/A</v>
      </c>
      <c r="AL35" s="74"/>
      <c r="AM35" s="72" t="e">
        <v>#N/A</v>
      </c>
      <c r="AN35" s="73" t="e">
        <v>#N/A</v>
      </c>
      <c r="AO35" s="74"/>
      <c r="AP35" s="72"/>
      <c r="AQ35" s="72"/>
      <c r="AR35" s="74"/>
      <c r="AS35" s="72"/>
      <c r="AT35" s="72"/>
      <c r="AU35" s="74"/>
      <c r="AV35" s="72"/>
      <c r="AW35" s="72"/>
      <c r="AX35" s="74"/>
      <c r="AY35" s="2" t="s">
        <v>1230</v>
      </c>
    </row>
    <row r="36" spans="1:51" x14ac:dyDescent="0.25">
      <c r="A36" s="2" t="s">
        <v>1243</v>
      </c>
      <c r="B36" s="2" t="s">
        <v>1213</v>
      </c>
      <c r="C36" s="2" t="s">
        <v>57</v>
      </c>
      <c r="D36" s="71" t="e">
        <v>#N/A</v>
      </c>
      <c r="E36" s="2" t="e">
        <v>#N/A</v>
      </c>
      <c r="F36" s="71"/>
      <c r="G36" s="2"/>
      <c r="H36" s="71"/>
      <c r="I36" s="2"/>
      <c r="J36" s="71"/>
      <c r="K36" s="2"/>
      <c r="L36" s="71"/>
      <c r="M36" s="2"/>
      <c r="N36" s="71"/>
      <c r="O36" s="2"/>
      <c r="P36" s="71"/>
      <c r="Q36" s="2"/>
      <c r="R36" s="72" t="e">
        <v>#N/A</v>
      </c>
      <c r="S36" s="72" t="e">
        <v>#N/A</v>
      </c>
      <c r="T36" s="74"/>
      <c r="U36" s="72" t="e">
        <v>#N/A</v>
      </c>
      <c r="V36" s="72" t="e">
        <v>#N/A</v>
      </c>
      <c r="W36" s="74"/>
      <c r="X36" s="72" t="e">
        <v>#N/A</v>
      </c>
      <c r="Y36" s="72" t="e">
        <v>#N/A</v>
      </c>
      <c r="Z36" s="74"/>
      <c r="AA36" s="72" t="e">
        <v>#N/A</v>
      </c>
      <c r="AB36" s="72" t="e">
        <v>#N/A</v>
      </c>
      <c r="AC36" s="74"/>
      <c r="AD36" s="73">
        <v>4</v>
      </c>
      <c r="AE36" s="73">
        <v>4</v>
      </c>
      <c r="AF36" s="74"/>
      <c r="AG36" s="72">
        <v>4</v>
      </c>
      <c r="AH36" s="73">
        <v>4</v>
      </c>
      <c r="AI36" s="74"/>
      <c r="AJ36" s="72" t="e">
        <v>#N/A</v>
      </c>
      <c r="AK36" s="73" t="e">
        <v>#N/A</v>
      </c>
      <c r="AL36" s="74"/>
      <c r="AM36" s="72">
        <v>3</v>
      </c>
      <c r="AN36" s="73">
        <v>2</v>
      </c>
      <c r="AO36" s="74"/>
      <c r="AP36" s="72"/>
      <c r="AQ36" s="72"/>
      <c r="AR36" s="74"/>
      <c r="AS36" s="72"/>
      <c r="AT36" s="72"/>
      <c r="AU36" s="74"/>
      <c r="AV36" s="72"/>
      <c r="AW36" s="72"/>
      <c r="AX36" s="74"/>
      <c r="AY36" s="2" t="s">
        <v>1214</v>
      </c>
    </row>
    <row r="37" spans="1:51" x14ac:dyDescent="0.25">
      <c r="A37" s="70" t="s">
        <v>1244</v>
      </c>
      <c r="B37" s="70" t="s">
        <v>1245</v>
      </c>
      <c r="C37" s="2" t="s">
        <v>1221</v>
      </c>
      <c r="D37" s="71">
        <v>3</v>
      </c>
      <c r="E37" s="2">
        <v>3</v>
      </c>
      <c r="F37" s="71"/>
      <c r="G37" s="2"/>
      <c r="H37" s="71"/>
      <c r="I37" s="2"/>
      <c r="J37" s="71"/>
      <c r="K37" s="2"/>
      <c r="L37" s="71"/>
      <c r="M37" s="2"/>
      <c r="N37" s="71"/>
      <c r="O37" s="2"/>
      <c r="P37" s="71"/>
      <c r="Q37" s="2"/>
      <c r="R37" s="72" t="e">
        <v>#N/A</v>
      </c>
      <c r="S37" s="72" t="e">
        <v>#N/A</v>
      </c>
      <c r="T37" s="74"/>
      <c r="U37" s="72" t="e">
        <v>#N/A</v>
      </c>
      <c r="V37" s="72" t="e">
        <v>#N/A</v>
      </c>
      <c r="W37" s="74"/>
      <c r="X37" s="72" t="e">
        <v>#N/A</v>
      </c>
      <c r="Y37" s="72" t="e">
        <v>#N/A</v>
      </c>
      <c r="Z37" s="74"/>
      <c r="AA37" s="72" t="e">
        <v>#N/A</v>
      </c>
      <c r="AB37" s="72" t="e">
        <v>#N/A</v>
      </c>
      <c r="AC37" s="74"/>
      <c r="AD37" s="73" t="e">
        <v>#N/A</v>
      </c>
      <c r="AE37" s="73" t="e">
        <v>#N/A</v>
      </c>
      <c r="AF37" s="74"/>
      <c r="AG37" s="72">
        <v>3</v>
      </c>
      <c r="AH37" s="73">
        <v>3</v>
      </c>
      <c r="AI37" s="74"/>
      <c r="AJ37" s="72" t="e">
        <v>#N/A</v>
      </c>
      <c r="AK37" s="73" t="e">
        <v>#N/A</v>
      </c>
      <c r="AL37" s="74"/>
      <c r="AM37" s="72" t="e">
        <v>#N/A</v>
      </c>
      <c r="AN37" s="73" t="e">
        <v>#N/A</v>
      </c>
      <c r="AO37" s="74"/>
      <c r="AP37" s="72"/>
      <c r="AQ37" s="72"/>
      <c r="AR37" s="74"/>
      <c r="AS37" s="72"/>
      <c r="AT37" s="72"/>
      <c r="AU37" s="74"/>
      <c r="AV37" s="72"/>
      <c r="AW37" s="72"/>
      <c r="AX37" s="74"/>
      <c r="AY37" s="2" t="s">
        <v>1232</v>
      </c>
    </row>
    <row r="38" spans="1:51" x14ac:dyDescent="0.25">
      <c r="A38" s="70" t="s">
        <v>1246</v>
      </c>
      <c r="B38" s="70" t="s">
        <v>1245</v>
      </c>
      <c r="C38" s="2" t="s">
        <v>1221</v>
      </c>
      <c r="D38" s="71">
        <v>3</v>
      </c>
      <c r="E38" s="2">
        <v>2</v>
      </c>
      <c r="F38" s="71"/>
      <c r="G38" s="2"/>
      <c r="H38" s="71"/>
      <c r="I38" s="2"/>
      <c r="J38" s="71"/>
      <c r="K38" s="2"/>
      <c r="L38" s="71"/>
      <c r="M38" s="2"/>
      <c r="N38" s="71"/>
      <c r="O38" s="2"/>
      <c r="P38" s="71"/>
      <c r="Q38" s="2"/>
      <c r="R38" s="72">
        <v>3</v>
      </c>
      <c r="S38" s="73">
        <v>3</v>
      </c>
      <c r="T38" s="74"/>
      <c r="U38" s="72" t="e">
        <v>#N/A</v>
      </c>
      <c r="V38" s="72" t="e">
        <v>#N/A</v>
      </c>
      <c r="W38" s="74"/>
      <c r="X38" s="72" t="e">
        <v>#N/A</v>
      </c>
      <c r="Y38" s="72" t="e">
        <v>#N/A</v>
      </c>
      <c r="Z38" s="74"/>
      <c r="AA38" s="72" t="e">
        <v>#N/A</v>
      </c>
      <c r="AB38" s="72" t="e">
        <v>#N/A</v>
      </c>
      <c r="AC38" s="74"/>
      <c r="AD38" s="73" t="e">
        <v>#N/A</v>
      </c>
      <c r="AE38" s="73" t="e">
        <v>#N/A</v>
      </c>
      <c r="AF38" s="74"/>
      <c r="AG38" s="72" t="e">
        <v>#N/A</v>
      </c>
      <c r="AH38" s="73" t="e">
        <v>#N/A</v>
      </c>
      <c r="AI38" s="74"/>
      <c r="AJ38" s="72" t="e">
        <v>#N/A</v>
      </c>
      <c r="AK38" s="73" t="e">
        <v>#N/A</v>
      </c>
      <c r="AL38" s="74"/>
      <c r="AM38" s="72" t="e">
        <v>#N/A</v>
      </c>
      <c r="AN38" s="73" t="e">
        <v>#N/A</v>
      </c>
      <c r="AO38" s="74"/>
      <c r="AP38" s="72"/>
      <c r="AQ38" s="72"/>
      <c r="AR38" s="74"/>
      <c r="AS38" s="72"/>
      <c r="AT38" s="72"/>
      <c r="AU38" s="74"/>
      <c r="AV38" s="72"/>
      <c r="AW38" s="72"/>
      <c r="AX38" s="74"/>
      <c r="AY38" s="2" t="s">
        <v>1232</v>
      </c>
    </row>
    <row r="39" spans="1:51" x14ac:dyDescent="0.25">
      <c r="A39" s="75" t="s">
        <v>1247</v>
      </c>
      <c r="B39" s="75" t="s">
        <v>1245</v>
      </c>
      <c r="C39" s="2" t="s">
        <v>1221</v>
      </c>
      <c r="D39" s="71">
        <v>3</v>
      </c>
      <c r="E39" s="2">
        <v>2</v>
      </c>
      <c r="F39" s="71"/>
      <c r="G39" s="2"/>
      <c r="H39" s="71"/>
      <c r="I39" s="2"/>
      <c r="J39" s="71"/>
      <c r="K39" s="2"/>
      <c r="L39" s="71"/>
      <c r="M39" s="2"/>
      <c r="N39" s="71"/>
      <c r="O39" s="2"/>
      <c r="P39" s="71"/>
      <c r="Q39" s="2"/>
      <c r="R39" s="72">
        <v>2</v>
      </c>
      <c r="S39" s="73">
        <v>2</v>
      </c>
      <c r="T39" s="74"/>
      <c r="U39" s="72" t="e">
        <v>#N/A</v>
      </c>
      <c r="V39" s="72" t="e">
        <v>#N/A</v>
      </c>
      <c r="W39" s="74"/>
      <c r="X39" s="72" t="e">
        <v>#N/A</v>
      </c>
      <c r="Y39" s="72" t="e">
        <v>#N/A</v>
      </c>
      <c r="Z39" s="74"/>
      <c r="AA39" s="72" t="e">
        <v>#N/A</v>
      </c>
      <c r="AB39" s="72" t="e">
        <v>#N/A</v>
      </c>
      <c r="AC39" s="74"/>
      <c r="AD39" s="73" t="e">
        <v>#N/A</v>
      </c>
      <c r="AE39" s="73" t="e">
        <v>#N/A</v>
      </c>
      <c r="AF39" s="74"/>
      <c r="AG39" s="72">
        <v>3</v>
      </c>
      <c r="AH39" s="73">
        <v>3</v>
      </c>
      <c r="AI39" s="74"/>
      <c r="AJ39" s="72" t="e">
        <v>#N/A</v>
      </c>
      <c r="AK39" s="73" t="e">
        <v>#N/A</v>
      </c>
      <c r="AL39" s="74"/>
      <c r="AM39" s="72" t="e">
        <v>#N/A</v>
      </c>
      <c r="AN39" s="73" t="e">
        <v>#N/A</v>
      </c>
      <c r="AO39" s="74"/>
      <c r="AP39" s="72"/>
      <c r="AQ39" s="72"/>
      <c r="AR39" s="74"/>
      <c r="AS39" s="72"/>
      <c r="AT39" s="72"/>
      <c r="AU39" s="74"/>
      <c r="AV39" s="72"/>
      <c r="AW39" s="72"/>
      <c r="AX39" s="74"/>
      <c r="AY39" s="2" t="s">
        <v>1232</v>
      </c>
    </row>
    <row r="40" spans="1:51" x14ac:dyDescent="0.25">
      <c r="A40" s="2" t="s">
        <v>1248</v>
      </c>
      <c r="B40" s="2" t="s">
        <v>1220</v>
      </c>
      <c r="C40" s="2" t="s">
        <v>989</v>
      </c>
      <c r="D40" s="71">
        <v>3</v>
      </c>
      <c r="E40" s="2">
        <v>2</v>
      </c>
      <c r="F40" s="71"/>
      <c r="G40" s="2"/>
      <c r="H40" s="71"/>
      <c r="I40" s="2"/>
      <c r="J40" s="71"/>
      <c r="K40" s="2"/>
      <c r="L40" s="71"/>
      <c r="M40" s="2"/>
      <c r="N40" s="71"/>
      <c r="O40" s="2"/>
      <c r="P40" s="71"/>
      <c r="Q40" s="2"/>
      <c r="R40" s="72">
        <v>3</v>
      </c>
      <c r="S40" s="73">
        <v>2</v>
      </c>
      <c r="T40" s="74"/>
      <c r="U40" s="72" t="e">
        <v>#N/A</v>
      </c>
      <c r="V40" s="72" t="e">
        <v>#N/A</v>
      </c>
      <c r="W40" s="74"/>
      <c r="X40" s="72" t="e">
        <v>#N/A</v>
      </c>
      <c r="Y40" s="72" t="e">
        <v>#N/A</v>
      </c>
      <c r="Z40" s="74"/>
      <c r="AA40" s="72" t="e">
        <v>#N/A</v>
      </c>
      <c r="AB40" s="72" t="e">
        <v>#N/A</v>
      </c>
      <c r="AC40" s="74"/>
      <c r="AD40" s="73" t="e">
        <v>#N/A</v>
      </c>
      <c r="AE40" s="73" t="e">
        <v>#N/A</v>
      </c>
      <c r="AF40" s="74"/>
      <c r="AG40" s="72" t="e">
        <v>#N/A</v>
      </c>
      <c r="AH40" s="73" t="e">
        <v>#N/A</v>
      </c>
      <c r="AI40" s="74"/>
      <c r="AJ40" s="72">
        <v>3</v>
      </c>
      <c r="AK40" s="73">
        <v>3</v>
      </c>
      <c r="AL40" s="74"/>
      <c r="AM40" s="72" t="e">
        <v>#N/A</v>
      </c>
      <c r="AN40" s="73" t="e">
        <v>#N/A</v>
      </c>
      <c r="AO40" s="74"/>
      <c r="AP40" s="72"/>
      <c r="AQ40" s="72"/>
      <c r="AR40" s="74"/>
      <c r="AS40" s="72"/>
      <c r="AT40" s="72"/>
      <c r="AU40" s="74"/>
      <c r="AV40" s="72"/>
      <c r="AW40" s="72"/>
      <c r="AX40" s="74"/>
      <c r="AY40" s="2" t="s">
        <v>1232</v>
      </c>
    </row>
    <row r="41" spans="1:51" x14ac:dyDescent="0.25">
      <c r="A41" s="2" t="s">
        <v>1249</v>
      </c>
      <c r="B41" s="2" t="s">
        <v>1213</v>
      </c>
      <c r="C41" s="2" t="s">
        <v>57</v>
      </c>
      <c r="D41" s="71" t="e">
        <v>#N/A</v>
      </c>
      <c r="E41" s="2" t="e">
        <v>#N/A</v>
      </c>
      <c r="F41" s="71"/>
      <c r="G41" s="2"/>
      <c r="H41" s="71"/>
      <c r="I41" s="2"/>
      <c r="J41" s="71"/>
      <c r="K41" s="2"/>
      <c r="L41" s="71"/>
      <c r="M41" s="2"/>
      <c r="N41" s="71"/>
      <c r="O41" s="2"/>
      <c r="P41" s="71"/>
      <c r="Q41" s="2"/>
      <c r="R41" s="72" t="e">
        <v>#N/A</v>
      </c>
      <c r="S41" s="72" t="e">
        <v>#N/A</v>
      </c>
      <c r="T41" s="74"/>
      <c r="U41" s="72" t="e">
        <v>#N/A</v>
      </c>
      <c r="V41" s="72" t="e">
        <v>#N/A</v>
      </c>
      <c r="W41" s="74"/>
      <c r="X41" s="72" t="e">
        <v>#N/A</v>
      </c>
      <c r="Y41" s="72" t="e">
        <v>#N/A</v>
      </c>
      <c r="Z41" s="74"/>
      <c r="AA41" s="72" t="e">
        <v>#N/A</v>
      </c>
      <c r="AB41" s="72" t="e">
        <v>#N/A</v>
      </c>
      <c r="AC41" s="74"/>
      <c r="AD41" s="73" t="e">
        <v>#N/A</v>
      </c>
      <c r="AE41" s="73" t="e">
        <v>#N/A</v>
      </c>
      <c r="AF41" s="74"/>
      <c r="AG41" s="72" t="e">
        <v>#N/A</v>
      </c>
      <c r="AH41" s="73" t="e">
        <v>#N/A</v>
      </c>
      <c r="AI41" s="74"/>
      <c r="AJ41" s="72" t="e">
        <v>#N/A</v>
      </c>
      <c r="AK41" s="73" t="e">
        <v>#N/A</v>
      </c>
      <c r="AL41" s="74"/>
      <c r="AM41" s="72" t="e">
        <v>#N/A</v>
      </c>
      <c r="AN41" s="73" t="e">
        <v>#N/A</v>
      </c>
      <c r="AO41" s="74"/>
      <c r="AP41" s="72"/>
      <c r="AQ41" s="72"/>
      <c r="AR41" s="74"/>
      <c r="AS41" s="72"/>
      <c r="AT41" s="72"/>
      <c r="AU41" s="74"/>
      <c r="AV41" s="72"/>
      <c r="AW41" s="72"/>
      <c r="AX41" s="74"/>
      <c r="AY41" s="2" t="s">
        <v>1250</v>
      </c>
    </row>
    <row r="42" spans="1:51" x14ac:dyDescent="0.25">
      <c r="A42" s="75" t="s">
        <v>1251</v>
      </c>
      <c r="B42" s="75" t="s">
        <v>1252</v>
      </c>
      <c r="C42" s="22" t="s">
        <v>1208</v>
      </c>
      <c r="D42" s="71">
        <v>3</v>
      </c>
      <c r="E42" s="2">
        <v>3</v>
      </c>
      <c r="F42" s="71"/>
      <c r="G42" s="2"/>
      <c r="H42" s="71"/>
      <c r="I42" s="2"/>
      <c r="J42" s="71"/>
      <c r="K42" s="2"/>
      <c r="L42" s="71"/>
      <c r="M42" s="2"/>
      <c r="N42" s="71"/>
      <c r="O42" s="2"/>
      <c r="P42" s="71"/>
      <c r="Q42" s="2"/>
      <c r="R42" s="72">
        <v>3</v>
      </c>
      <c r="S42" s="73">
        <v>3</v>
      </c>
      <c r="T42" s="74">
        <v>3</v>
      </c>
      <c r="U42" s="72" t="e">
        <v>#N/A</v>
      </c>
      <c r="V42" s="72" t="e">
        <v>#N/A</v>
      </c>
      <c r="W42" s="74">
        <v>3</v>
      </c>
      <c r="X42" s="72">
        <v>3</v>
      </c>
      <c r="Y42" s="73">
        <v>3</v>
      </c>
      <c r="Z42" s="74">
        <v>3</v>
      </c>
      <c r="AA42" s="72">
        <v>3</v>
      </c>
      <c r="AB42" s="73">
        <v>3</v>
      </c>
      <c r="AC42" s="74"/>
      <c r="AD42" s="73">
        <v>3</v>
      </c>
      <c r="AE42" s="73">
        <v>3</v>
      </c>
      <c r="AF42" s="74"/>
      <c r="AG42" s="72">
        <v>3</v>
      </c>
      <c r="AH42" s="73">
        <v>3</v>
      </c>
      <c r="AI42" s="74"/>
      <c r="AJ42" s="72">
        <v>3</v>
      </c>
      <c r="AK42" s="73">
        <v>3</v>
      </c>
      <c r="AL42" s="74"/>
      <c r="AM42" s="72">
        <v>4</v>
      </c>
      <c r="AN42" s="73">
        <v>3</v>
      </c>
      <c r="AO42" s="74"/>
      <c r="AP42" s="72"/>
      <c r="AQ42" s="73"/>
      <c r="AR42" s="74"/>
      <c r="AS42" s="72"/>
      <c r="AT42" s="73"/>
      <c r="AU42" s="74"/>
      <c r="AV42" s="72"/>
      <c r="AW42" s="73"/>
      <c r="AX42" s="74"/>
      <c r="AY42" s="2" t="s">
        <v>1253</v>
      </c>
    </row>
    <row r="43" spans="1:51" x14ac:dyDescent="0.25">
      <c r="A43" s="70" t="s">
        <v>1043</v>
      </c>
      <c r="B43" s="70" t="s">
        <v>1223</v>
      </c>
      <c r="C43" s="2" t="s">
        <v>1208</v>
      </c>
      <c r="D43" s="71">
        <v>3</v>
      </c>
      <c r="E43" s="2">
        <v>3</v>
      </c>
      <c r="F43" s="71"/>
      <c r="G43" s="2"/>
      <c r="H43" s="71"/>
      <c r="I43" s="2"/>
      <c r="J43" s="71"/>
      <c r="K43" s="2"/>
      <c r="L43" s="71"/>
      <c r="M43" s="2"/>
      <c r="N43" s="71"/>
      <c r="O43" s="2"/>
      <c r="P43" s="71"/>
      <c r="Q43" s="2"/>
      <c r="R43" s="72">
        <v>4</v>
      </c>
      <c r="S43" s="73">
        <v>3</v>
      </c>
      <c r="T43" s="74"/>
      <c r="U43" s="72" t="e">
        <v>#N/A</v>
      </c>
      <c r="V43" s="72" t="e">
        <v>#N/A</v>
      </c>
      <c r="W43" s="74"/>
      <c r="X43" s="72" t="e">
        <v>#N/A</v>
      </c>
      <c r="Y43" s="72" t="e">
        <v>#N/A</v>
      </c>
      <c r="Z43" s="74"/>
      <c r="AA43" s="72" t="e">
        <v>#N/A</v>
      </c>
      <c r="AB43" s="72" t="e">
        <v>#N/A</v>
      </c>
      <c r="AC43" s="74"/>
      <c r="AD43" s="73">
        <v>3</v>
      </c>
      <c r="AE43" s="73">
        <v>3</v>
      </c>
      <c r="AF43" s="74"/>
      <c r="AG43" s="72">
        <v>3</v>
      </c>
      <c r="AH43" s="73">
        <v>3</v>
      </c>
      <c r="AI43" s="74"/>
      <c r="AJ43" s="72">
        <v>3</v>
      </c>
      <c r="AK43" s="73">
        <v>3</v>
      </c>
      <c r="AL43" s="74"/>
      <c r="AM43" s="72">
        <v>4</v>
      </c>
      <c r="AN43" s="73">
        <v>3</v>
      </c>
      <c r="AO43" s="74"/>
      <c r="AP43" s="72"/>
      <c r="AQ43" s="72"/>
      <c r="AR43" s="74"/>
      <c r="AS43" s="72"/>
      <c r="AT43" s="72"/>
      <c r="AU43" s="74"/>
      <c r="AV43" s="72"/>
      <c r="AW43" s="72"/>
      <c r="AX43" s="74"/>
      <c r="AY43" s="2" t="s">
        <v>1214</v>
      </c>
    </row>
    <row r="44" spans="1:51" x14ac:dyDescent="0.25">
      <c r="A44" s="70" t="s">
        <v>1044</v>
      </c>
      <c r="B44" s="70" t="s">
        <v>1223</v>
      </c>
      <c r="C44" s="2" t="s">
        <v>1208</v>
      </c>
      <c r="D44" s="71" t="e">
        <v>#N/A</v>
      </c>
      <c r="E44" s="2" t="e">
        <v>#N/A</v>
      </c>
      <c r="F44" s="71"/>
      <c r="G44" s="2"/>
      <c r="H44" s="71"/>
      <c r="I44" s="2"/>
      <c r="J44" s="71"/>
      <c r="K44" s="2"/>
      <c r="L44" s="71"/>
      <c r="M44" s="2"/>
      <c r="N44" s="71"/>
      <c r="O44" s="2"/>
      <c r="P44" s="71"/>
      <c r="Q44" s="2"/>
      <c r="R44" s="72">
        <v>3</v>
      </c>
      <c r="S44" s="73">
        <v>3</v>
      </c>
      <c r="T44" s="74"/>
      <c r="U44" s="73">
        <v>3</v>
      </c>
      <c r="V44" s="73">
        <v>3</v>
      </c>
      <c r="W44" s="74"/>
      <c r="X44" s="72">
        <v>4</v>
      </c>
      <c r="Y44" s="73">
        <v>4</v>
      </c>
      <c r="Z44" s="74"/>
      <c r="AA44" s="72" t="e">
        <v>#N/A</v>
      </c>
      <c r="AB44" s="72" t="e">
        <v>#N/A</v>
      </c>
      <c r="AC44" s="74"/>
      <c r="AD44" s="73">
        <v>3</v>
      </c>
      <c r="AE44" s="73">
        <v>3</v>
      </c>
      <c r="AF44" s="74"/>
      <c r="AG44" s="72" t="e">
        <v>#N/A</v>
      </c>
      <c r="AH44" s="73" t="e">
        <v>#N/A</v>
      </c>
      <c r="AI44" s="74"/>
      <c r="AJ44" s="72">
        <v>3</v>
      </c>
      <c r="AK44" s="73">
        <v>4</v>
      </c>
      <c r="AL44" s="74"/>
      <c r="AM44" s="72" t="e">
        <v>#N/A</v>
      </c>
      <c r="AN44" s="73" t="e">
        <v>#N/A</v>
      </c>
      <c r="AO44" s="74"/>
      <c r="AP44" s="72"/>
      <c r="AQ44" s="72"/>
      <c r="AR44" s="74"/>
      <c r="AS44" s="72"/>
      <c r="AT44" s="72"/>
      <c r="AU44" s="74"/>
      <c r="AV44" s="72"/>
      <c r="AW44" s="72"/>
      <c r="AX44" s="74"/>
      <c r="AY44" s="2" t="s">
        <v>1254</v>
      </c>
    </row>
    <row r="45" spans="1:51" x14ac:dyDescent="0.25">
      <c r="A45" s="2" t="s">
        <v>1255</v>
      </c>
      <c r="B45" s="2" t="s">
        <v>1213</v>
      </c>
      <c r="C45" s="2" t="s">
        <v>57</v>
      </c>
      <c r="D45" s="71">
        <v>3</v>
      </c>
      <c r="E45" s="2">
        <v>3</v>
      </c>
      <c r="F45" s="71"/>
      <c r="G45" s="2"/>
      <c r="H45" s="71"/>
      <c r="I45" s="2"/>
      <c r="J45" s="71"/>
      <c r="K45" s="2"/>
      <c r="L45" s="71"/>
      <c r="M45" s="2"/>
      <c r="N45" s="71"/>
      <c r="O45" s="2"/>
      <c r="P45" s="71"/>
      <c r="Q45" s="2"/>
      <c r="R45" s="72">
        <v>3</v>
      </c>
      <c r="S45" s="73">
        <v>3</v>
      </c>
      <c r="T45" s="74"/>
      <c r="U45" s="73">
        <v>3</v>
      </c>
      <c r="V45" s="73">
        <v>3</v>
      </c>
      <c r="W45" s="74"/>
      <c r="X45" s="72">
        <v>4</v>
      </c>
      <c r="Y45" s="73">
        <v>4</v>
      </c>
      <c r="Z45" s="74"/>
      <c r="AA45" s="72">
        <v>3</v>
      </c>
      <c r="AB45" s="73">
        <v>3</v>
      </c>
      <c r="AC45" s="74"/>
      <c r="AD45" s="73" t="e">
        <v>#N/A</v>
      </c>
      <c r="AE45" s="73" t="e">
        <v>#N/A</v>
      </c>
      <c r="AF45" s="74"/>
      <c r="AG45" s="72" t="e">
        <v>#N/A</v>
      </c>
      <c r="AH45" s="73" t="e">
        <v>#N/A</v>
      </c>
      <c r="AI45" s="74"/>
      <c r="AJ45" s="72">
        <v>2</v>
      </c>
      <c r="AK45" s="73">
        <v>3</v>
      </c>
      <c r="AL45" s="74"/>
      <c r="AM45" s="72" t="e">
        <v>#N/A</v>
      </c>
      <c r="AN45" s="73" t="e">
        <v>#N/A</v>
      </c>
      <c r="AO45" s="74"/>
      <c r="AP45" s="72"/>
      <c r="AQ45" s="72"/>
      <c r="AR45" s="74"/>
      <c r="AS45" s="72"/>
      <c r="AT45" s="72"/>
      <c r="AU45" s="74"/>
      <c r="AV45" s="72"/>
      <c r="AW45" s="72"/>
      <c r="AX45" s="74"/>
      <c r="AY45" s="2" t="s">
        <v>1250</v>
      </c>
    </row>
    <row r="46" spans="1:51" x14ac:dyDescent="0.25">
      <c r="A46" s="2" t="s">
        <v>1256</v>
      </c>
      <c r="B46" s="2" t="s">
        <v>1257</v>
      </c>
      <c r="C46" s="2" t="s">
        <v>1208</v>
      </c>
      <c r="D46" s="71">
        <v>3</v>
      </c>
      <c r="E46" s="2">
        <v>3</v>
      </c>
      <c r="F46" s="71"/>
      <c r="G46" s="2"/>
      <c r="H46" s="71"/>
      <c r="I46" s="2"/>
      <c r="J46" s="71"/>
      <c r="K46" s="2"/>
      <c r="L46" s="71"/>
      <c r="M46" s="2"/>
      <c r="N46" s="71"/>
      <c r="O46" s="2"/>
      <c r="P46" s="71"/>
      <c r="Q46" s="2"/>
      <c r="R46" s="72" t="e">
        <v>#N/A</v>
      </c>
      <c r="S46" s="72" t="e">
        <v>#N/A</v>
      </c>
      <c r="T46" s="74"/>
      <c r="U46" s="72" t="e">
        <v>#N/A</v>
      </c>
      <c r="V46" s="72" t="e">
        <v>#N/A</v>
      </c>
      <c r="W46" s="74"/>
      <c r="X46" s="72" t="e">
        <v>#N/A</v>
      </c>
      <c r="Y46" s="72" t="e">
        <v>#N/A</v>
      </c>
      <c r="Z46" s="74"/>
      <c r="AA46" s="72" t="e">
        <v>#N/A</v>
      </c>
      <c r="AB46" s="72" t="e">
        <v>#N/A</v>
      </c>
      <c r="AC46" s="74"/>
      <c r="AD46" s="73" t="e">
        <v>#N/A</v>
      </c>
      <c r="AE46" s="73" t="e">
        <v>#N/A</v>
      </c>
      <c r="AF46" s="74"/>
      <c r="AG46" s="72">
        <v>3</v>
      </c>
      <c r="AH46" s="73">
        <v>3</v>
      </c>
      <c r="AI46" s="74"/>
      <c r="AJ46" s="72" t="e">
        <v>#N/A</v>
      </c>
      <c r="AK46" s="73" t="e">
        <v>#N/A</v>
      </c>
      <c r="AL46" s="74"/>
      <c r="AM46" s="72">
        <v>3</v>
      </c>
      <c r="AN46" s="73">
        <v>3</v>
      </c>
      <c r="AO46" s="74"/>
      <c r="AP46" s="72"/>
      <c r="AQ46" s="73"/>
      <c r="AR46" s="74"/>
      <c r="AS46" s="72"/>
      <c r="AT46" s="73"/>
      <c r="AU46" s="74"/>
      <c r="AV46" s="72"/>
      <c r="AW46" s="73"/>
      <c r="AX46" s="74"/>
      <c r="AY46" s="2" t="s">
        <v>1230</v>
      </c>
    </row>
    <row r="47" spans="1:51" x14ac:dyDescent="0.25">
      <c r="A47" s="2" t="s">
        <v>1258</v>
      </c>
      <c r="B47" s="2" t="s">
        <v>1226</v>
      </c>
      <c r="C47" s="2" t="s">
        <v>1208</v>
      </c>
      <c r="D47" s="71" t="e">
        <v>#N/A</v>
      </c>
      <c r="E47" s="2" t="e">
        <v>#N/A</v>
      </c>
      <c r="F47" s="71"/>
      <c r="G47" s="2"/>
      <c r="H47" s="71"/>
      <c r="I47" s="2"/>
      <c r="J47" s="71"/>
      <c r="K47" s="2"/>
      <c r="L47" s="71"/>
      <c r="M47" s="2"/>
      <c r="N47" s="71"/>
      <c r="O47" s="2"/>
      <c r="P47" s="71"/>
      <c r="Q47" s="2"/>
      <c r="R47" s="72" t="e">
        <v>#N/A</v>
      </c>
      <c r="S47" s="72" t="e">
        <v>#N/A</v>
      </c>
      <c r="T47" s="74"/>
      <c r="U47" s="73">
        <v>4</v>
      </c>
      <c r="V47" s="73">
        <v>4</v>
      </c>
      <c r="W47" s="74"/>
      <c r="X47" s="72">
        <v>3</v>
      </c>
      <c r="Y47" s="73">
        <v>3</v>
      </c>
      <c r="Z47" s="74"/>
      <c r="AA47" s="72" t="e">
        <v>#N/A</v>
      </c>
      <c r="AB47" s="72" t="e">
        <v>#N/A</v>
      </c>
      <c r="AC47" s="74"/>
      <c r="AD47" s="73">
        <v>3</v>
      </c>
      <c r="AE47" s="73">
        <v>2</v>
      </c>
      <c r="AF47" s="74"/>
      <c r="AG47" s="72" t="e">
        <v>#N/A</v>
      </c>
      <c r="AH47" s="73" t="e">
        <v>#N/A</v>
      </c>
      <c r="AI47" s="74"/>
      <c r="AJ47" s="72" t="e">
        <v>#N/A</v>
      </c>
      <c r="AK47" s="73" t="e">
        <v>#N/A</v>
      </c>
      <c r="AL47" s="74"/>
      <c r="AM47" s="72" t="e">
        <v>#N/A</v>
      </c>
      <c r="AN47" s="73" t="e">
        <v>#N/A</v>
      </c>
      <c r="AO47" s="74"/>
      <c r="AP47" s="72"/>
      <c r="AQ47" s="72"/>
      <c r="AR47" s="74"/>
      <c r="AS47" s="72"/>
      <c r="AT47" s="72"/>
      <c r="AU47" s="74"/>
      <c r="AV47" s="72"/>
      <c r="AW47" s="72"/>
      <c r="AX47" s="74"/>
      <c r="AY47" s="2" t="s">
        <v>1232</v>
      </c>
    </row>
    <row r="48" spans="1:51" x14ac:dyDescent="0.25">
      <c r="A48" s="2" t="s">
        <v>1259</v>
      </c>
      <c r="B48" s="2" t="s">
        <v>1213</v>
      </c>
      <c r="C48" s="2" t="s">
        <v>57</v>
      </c>
      <c r="D48" s="71" t="e">
        <v>#N/A</v>
      </c>
      <c r="E48" s="2" t="e">
        <v>#N/A</v>
      </c>
      <c r="F48" s="71"/>
      <c r="G48" s="2"/>
      <c r="H48" s="71"/>
      <c r="I48" s="2"/>
      <c r="J48" s="71"/>
      <c r="K48" s="2"/>
      <c r="L48" s="71"/>
      <c r="M48" s="2"/>
      <c r="N48" s="71"/>
      <c r="O48" s="2"/>
      <c r="P48" s="71"/>
      <c r="Q48" s="2"/>
      <c r="R48" s="72" t="e">
        <v>#N/A</v>
      </c>
      <c r="S48" s="72" t="e">
        <v>#N/A</v>
      </c>
      <c r="T48" s="74"/>
      <c r="U48" s="73">
        <v>3</v>
      </c>
      <c r="V48" s="73">
        <v>3</v>
      </c>
      <c r="W48" s="74"/>
      <c r="X48" s="72">
        <v>3</v>
      </c>
      <c r="Y48" s="73">
        <v>3</v>
      </c>
      <c r="Z48" s="74"/>
      <c r="AA48" s="72" t="e">
        <v>#N/A</v>
      </c>
      <c r="AB48" s="72" t="e">
        <v>#N/A</v>
      </c>
      <c r="AC48" s="74"/>
      <c r="AD48" s="73" t="e">
        <v>#N/A</v>
      </c>
      <c r="AE48" s="73" t="e">
        <v>#N/A</v>
      </c>
      <c r="AF48" s="74"/>
      <c r="AG48" s="72" t="e">
        <v>#N/A</v>
      </c>
      <c r="AH48" s="73" t="e">
        <v>#N/A</v>
      </c>
      <c r="AI48" s="74"/>
      <c r="AJ48" s="72" t="e">
        <v>#N/A</v>
      </c>
      <c r="AK48" s="73" t="e">
        <v>#N/A</v>
      </c>
      <c r="AL48" s="74"/>
      <c r="AM48" s="72" t="e">
        <v>#N/A</v>
      </c>
      <c r="AN48" s="73" t="e">
        <v>#N/A</v>
      </c>
      <c r="AO48" s="74"/>
      <c r="AP48" s="72"/>
      <c r="AQ48" s="72"/>
      <c r="AR48" s="74"/>
      <c r="AS48" s="72"/>
      <c r="AT48" s="72"/>
      <c r="AU48" s="74"/>
      <c r="AV48" s="72"/>
      <c r="AW48" s="72"/>
      <c r="AX48" s="74"/>
      <c r="AY48" s="2" t="s">
        <v>653</v>
      </c>
    </row>
    <row r="49" spans="1:51" x14ac:dyDescent="0.25">
      <c r="A49" s="2" t="s">
        <v>1260</v>
      </c>
      <c r="B49" s="2" t="s">
        <v>1226</v>
      </c>
      <c r="C49" s="2" t="s">
        <v>1208</v>
      </c>
      <c r="D49" s="71" t="e">
        <v>#N/A</v>
      </c>
      <c r="E49" s="2" t="e">
        <v>#N/A</v>
      </c>
      <c r="F49" s="71"/>
      <c r="G49" s="2"/>
      <c r="H49" s="71"/>
      <c r="I49" s="2"/>
      <c r="J49" s="71"/>
      <c r="K49" s="2"/>
      <c r="L49" s="71"/>
      <c r="M49" s="2"/>
      <c r="N49" s="71"/>
      <c r="O49" s="2"/>
      <c r="P49" s="71"/>
      <c r="Q49" s="2"/>
      <c r="R49" s="72" t="e">
        <v>#N/A</v>
      </c>
      <c r="S49" s="72" t="e">
        <v>#N/A</v>
      </c>
      <c r="T49" s="74"/>
      <c r="U49" s="73">
        <v>3</v>
      </c>
      <c r="V49" s="73">
        <v>3</v>
      </c>
      <c r="W49" s="74"/>
      <c r="X49" s="72">
        <v>3</v>
      </c>
      <c r="Y49" s="73">
        <v>3</v>
      </c>
      <c r="Z49" s="74"/>
      <c r="AA49" s="72" t="e">
        <v>#N/A</v>
      </c>
      <c r="AB49" s="72" t="e">
        <v>#N/A</v>
      </c>
      <c r="AC49" s="74"/>
      <c r="AD49" s="73" t="e">
        <v>#N/A</v>
      </c>
      <c r="AE49" s="73" t="e">
        <v>#N/A</v>
      </c>
      <c r="AF49" s="74"/>
      <c r="AG49" s="72" t="e">
        <v>#N/A</v>
      </c>
      <c r="AH49" s="73" t="e">
        <v>#N/A</v>
      </c>
      <c r="AI49" s="74"/>
      <c r="AJ49" s="72" t="e">
        <v>#N/A</v>
      </c>
      <c r="AK49" s="73" t="e">
        <v>#N/A</v>
      </c>
      <c r="AL49" s="74"/>
      <c r="AM49" s="72" t="e">
        <v>#N/A</v>
      </c>
      <c r="AN49" s="73" t="e">
        <v>#N/A</v>
      </c>
      <c r="AO49" s="74"/>
      <c r="AP49" s="72"/>
      <c r="AQ49" s="72"/>
      <c r="AR49" s="74"/>
      <c r="AS49" s="72"/>
      <c r="AT49" s="72"/>
      <c r="AU49" s="74"/>
      <c r="AV49" s="72"/>
      <c r="AW49" s="72"/>
      <c r="AX49" s="74"/>
      <c r="AY49" s="2" t="s">
        <v>653</v>
      </c>
    </row>
    <row r="50" spans="1:51" x14ac:dyDescent="0.25">
      <c r="A50" s="70" t="s">
        <v>1261</v>
      </c>
      <c r="B50" s="70" t="s">
        <v>1207</v>
      </c>
      <c r="C50" s="2" t="s">
        <v>1208</v>
      </c>
      <c r="D50" s="71">
        <v>4</v>
      </c>
      <c r="E50" s="2">
        <v>4</v>
      </c>
      <c r="F50" s="71"/>
      <c r="G50" s="2"/>
      <c r="H50" s="71"/>
      <c r="I50" s="2"/>
      <c r="J50" s="71"/>
      <c r="K50" s="2"/>
      <c r="L50" s="71"/>
      <c r="M50" s="2"/>
      <c r="N50" s="71"/>
      <c r="O50" s="2"/>
      <c r="P50" s="71"/>
      <c r="Q50" s="2"/>
      <c r="R50" s="72" t="e">
        <v>#N/A</v>
      </c>
      <c r="S50" s="72" t="e">
        <v>#N/A</v>
      </c>
      <c r="T50" s="74"/>
      <c r="U50" s="73">
        <v>4</v>
      </c>
      <c r="V50" s="73">
        <v>1</v>
      </c>
      <c r="W50" s="74"/>
      <c r="X50" s="72">
        <v>4</v>
      </c>
      <c r="Y50" s="73">
        <v>2</v>
      </c>
      <c r="Z50" s="74"/>
      <c r="AA50" s="72">
        <v>4</v>
      </c>
      <c r="AB50" s="73">
        <v>2</v>
      </c>
      <c r="AC50" s="74"/>
      <c r="AD50" s="73">
        <v>4</v>
      </c>
      <c r="AE50" s="73">
        <v>1</v>
      </c>
      <c r="AF50" s="74"/>
      <c r="AG50" s="72">
        <v>4</v>
      </c>
      <c r="AH50" s="73">
        <v>1</v>
      </c>
      <c r="AI50" s="74"/>
      <c r="AJ50" s="72">
        <v>4</v>
      </c>
      <c r="AK50" s="73">
        <v>1</v>
      </c>
      <c r="AL50" s="74"/>
      <c r="AM50" s="72">
        <v>4</v>
      </c>
      <c r="AN50" s="73">
        <v>2</v>
      </c>
      <c r="AO50" s="74"/>
      <c r="AP50" s="72"/>
      <c r="AQ50" s="73"/>
      <c r="AR50" s="74"/>
      <c r="AS50" s="72"/>
      <c r="AT50" s="73"/>
      <c r="AU50" s="74"/>
      <c r="AV50" s="72"/>
      <c r="AW50" s="73"/>
      <c r="AX50" s="74"/>
      <c r="AY50" s="2" t="s">
        <v>1209</v>
      </c>
    </row>
    <row r="51" spans="1:51" x14ac:dyDescent="0.25">
      <c r="A51" s="75" t="s">
        <v>1262</v>
      </c>
      <c r="B51" s="75" t="s">
        <v>1226</v>
      </c>
      <c r="C51" s="2" t="s">
        <v>989</v>
      </c>
      <c r="D51" s="71">
        <v>2</v>
      </c>
      <c r="E51" s="2">
        <v>2</v>
      </c>
      <c r="F51" s="71"/>
      <c r="G51" s="2"/>
      <c r="H51" s="71"/>
      <c r="I51" s="2"/>
      <c r="J51" s="71"/>
      <c r="K51" s="2"/>
      <c r="L51" s="71"/>
      <c r="M51" s="2"/>
      <c r="N51" s="71"/>
      <c r="O51" s="2"/>
      <c r="P51" s="71"/>
      <c r="Q51" s="2"/>
      <c r="R51" s="72">
        <v>2</v>
      </c>
      <c r="S51" s="73">
        <v>2</v>
      </c>
      <c r="T51" s="74"/>
      <c r="U51" s="73">
        <v>2</v>
      </c>
      <c r="V51" s="73">
        <v>2</v>
      </c>
      <c r="W51" s="74"/>
      <c r="X51" s="72">
        <v>2</v>
      </c>
      <c r="Y51" s="73">
        <v>3</v>
      </c>
      <c r="Z51" s="74"/>
      <c r="AA51" s="72" t="e">
        <v>#N/A</v>
      </c>
      <c r="AB51" s="72" t="e">
        <v>#N/A</v>
      </c>
      <c r="AC51" s="74"/>
      <c r="AD51" s="73">
        <v>1</v>
      </c>
      <c r="AE51" s="73">
        <v>2</v>
      </c>
      <c r="AF51" s="74"/>
      <c r="AG51" s="72">
        <v>3</v>
      </c>
      <c r="AH51" s="73">
        <v>3</v>
      </c>
      <c r="AI51" s="74"/>
      <c r="AJ51" s="72">
        <v>3</v>
      </c>
      <c r="AK51" s="73">
        <v>3</v>
      </c>
      <c r="AL51" s="74"/>
      <c r="AM51" s="72">
        <v>3</v>
      </c>
      <c r="AN51" s="73">
        <v>3</v>
      </c>
      <c r="AO51" s="74"/>
      <c r="AP51" s="72"/>
      <c r="AQ51" s="72"/>
      <c r="AR51" s="74"/>
      <c r="AS51" s="72"/>
      <c r="AT51" s="72"/>
      <c r="AU51" s="74"/>
      <c r="AV51" s="72"/>
      <c r="AW51" s="72"/>
      <c r="AX51" s="74"/>
      <c r="AY51" s="2" t="s">
        <v>1263</v>
      </c>
    </row>
    <row r="52" spans="1:51" x14ac:dyDescent="0.25">
      <c r="A52" s="70" t="s">
        <v>1264</v>
      </c>
      <c r="B52" s="70" t="s">
        <v>1223</v>
      </c>
      <c r="C52" s="2" t="s">
        <v>1208</v>
      </c>
      <c r="D52" s="71">
        <v>3</v>
      </c>
      <c r="E52" s="2">
        <v>2</v>
      </c>
      <c r="F52" s="71"/>
      <c r="G52" s="2"/>
      <c r="H52" s="71"/>
      <c r="I52" s="2"/>
      <c r="J52" s="71"/>
      <c r="K52" s="2"/>
      <c r="L52" s="71"/>
      <c r="M52" s="2"/>
      <c r="N52" s="71"/>
      <c r="O52" s="2"/>
      <c r="P52" s="71"/>
      <c r="Q52" s="2"/>
      <c r="R52" s="72">
        <v>4</v>
      </c>
      <c r="S52" s="73">
        <v>3</v>
      </c>
      <c r="T52" s="74"/>
      <c r="U52" s="73">
        <v>3</v>
      </c>
      <c r="V52" s="73">
        <v>3</v>
      </c>
      <c r="W52" s="74"/>
      <c r="X52" s="72">
        <v>3</v>
      </c>
      <c r="Y52" s="73">
        <v>3</v>
      </c>
      <c r="Z52" s="74"/>
      <c r="AA52" s="72" t="e">
        <v>#N/A</v>
      </c>
      <c r="AB52" s="72" t="e">
        <v>#N/A</v>
      </c>
      <c r="AC52" s="74"/>
      <c r="AD52" s="73">
        <v>3</v>
      </c>
      <c r="AE52" s="73">
        <v>3</v>
      </c>
      <c r="AF52" s="74"/>
      <c r="AG52" s="72">
        <v>3</v>
      </c>
      <c r="AH52" s="73">
        <v>3</v>
      </c>
      <c r="AI52" s="74"/>
      <c r="AJ52" s="72">
        <v>3</v>
      </c>
      <c r="AK52" s="73">
        <v>3</v>
      </c>
      <c r="AL52" s="74"/>
      <c r="AM52" s="72">
        <v>3</v>
      </c>
      <c r="AN52" s="73">
        <v>4</v>
      </c>
      <c r="AO52" s="74"/>
      <c r="AP52" s="72"/>
      <c r="AQ52" s="72"/>
      <c r="AR52" s="74"/>
      <c r="AS52" s="72"/>
      <c r="AT52" s="72"/>
      <c r="AU52" s="74"/>
      <c r="AV52" s="72"/>
      <c r="AW52" s="72"/>
      <c r="AX52" s="74"/>
      <c r="AY52" s="2" t="s">
        <v>1265</v>
      </c>
    </row>
    <row r="53" spans="1:51" x14ac:dyDescent="0.25">
      <c r="A53" s="70" t="s">
        <v>1058</v>
      </c>
      <c r="B53" s="70" t="s">
        <v>1220</v>
      </c>
      <c r="C53" s="2" t="s">
        <v>1208</v>
      </c>
      <c r="D53" s="71" t="e">
        <v>#N/A</v>
      </c>
      <c r="E53" s="2" t="e">
        <v>#N/A</v>
      </c>
      <c r="F53" s="71"/>
      <c r="G53" s="2"/>
      <c r="H53" s="71"/>
      <c r="I53" s="2"/>
      <c r="J53" s="71"/>
      <c r="K53" s="2"/>
      <c r="L53" s="71"/>
      <c r="M53" s="2"/>
      <c r="N53" s="71"/>
      <c r="O53" s="2"/>
      <c r="P53" s="71"/>
      <c r="Q53" s="2"/>
      <c r="R53" s="72">
        <v>4</v>
      </c>
      <c r="S53" s="73">
        <v>4</v>
      </c>
      <c r="T53" s="74"/>
      <c r="U53" s="73">
        <v>4</v>
      </c>
      <c r="V53" s="73">
        <v>4</v>
      </c>
      <c r="W53" s="74"/>
      <c r="X53" s="72">
        <v>4</v>
      </c>
      <c r="Y53" s="73">
        <v>4</v>
      </c>
      <c r="Z53" s="74"/>
      <c r="AA53" s="72">
        <v>4</v>
      </c>
      <c r="AB53" s="73">
        <v>4</v>
      </c>
      <c r="AC53" s="74"/>
      <c r="AD53" s="73">
        <v>4</v>
      </c>
      <c r="AE53" s="73">
        <v>4</v>
      </c>
      <c r="AF53" s="74"/>
      <c r="AG53" s="72">
        <v>4</v>
      </c>
      <c r="AH53" s="73">
        <v>4</v>
      </c>
      <c r="AI53" s="74"/>
      <c r="AJ53" s="72">
        <v>4</v>
      </c>
      <c r="AK53" s="73">
        <v>4</v>
      </c>
      <c r="AL53" s="74"/>
      <c r="AM53" s="72">
        <v>4</v>
      </c>
      <c r="AN53" s="73">
        <v>4</v>
      </c>
      <c r="AO53" s="74"/>
      <c r="AP53" s="72"/>
      <c r="AQ53" s="101"/>
      <c r="AR53" s="74"/>
      <c r="AS53" s="72"/>
      <c r="AT53" s="101"/>
      <c r="AU53" s="74"/>
      <c r="AV53" s="72"/>
      <c r="AW53" s="101"/>
      <c r="AX53" s="74"/>
      <c r="AY53" s="76" t="s">
        <v>114</v>
      </c>
    </row>
    <row r="54" spans="1:51" x14ac:dyDescent="0.25">
      <c r="A54" s="2" t="s">
        <v>1266</v>
      </c>
      <c r="B54" s="2" t="s">
        <v>1226</v>
      </c>
      <c r="C54" s="2" t="s">
        <v>1208</v>
      </c>
      <c r="D54" s="71" t="e">
        <v>#N/A</v>
      </c>
      <c r="E54" s="2" t="e">
        <v>#N/A</v>
      </c>
      <c r="F54" s="71"/>
      <c r="G54" s="2"/>
      <c r="H54" s="71"/>
      <c r="I54" s="2"/>
      <c r="J54" s="71"/>
      <c r="K54" s="2"/>
      <c r="L54" s="71"/>
      <c r="M54" s="2"/>
      <c r="N54" s="71"/>
      <c r="O54" s="2"/>
      <c r="P54" s="71"/>
      <c r="Q54" s="2"/>
      <c r="R54" s="72" t="e">
        <v>#N/A</v>
      </c>
      <c r="S54" s="72" t="e">
        <v>#N/A</v>
      </c>
      <c r="T54" s="74"/>
      <c r="U54" s="73">
        <v>3</v>
      </c>
      <c r="V54" s="73">
        <v>3</v>
      </c>
      <c r="W54" s="74"/>
      <c r="X54" s="72">
        <v>3</v>
      </c>
      <c r="Y54" s="73">
        <v>3</v>
      </c>
      <c r="Z54" s="74"/>
      <c r="AA54" s="72" t="e">
        <v>#N/A</v>
      </c>
      <c r="AB54" s="72" t="e">
        <v>#N/A</v>
      </c>
      <c r="AC54" s="74"/>
      <c r="AD54" s="73" t="e">
        <v>#N/A</v>
      </c>
      <c r="AE54" s="73" t="e">
        <v>#N/A</v>
      </c>
      <c r="AF54" s="74"/>
      <c r="AG54" s="72" t="e">
        <v>#N/A</v>
      </c>
      <c r="AH54" s="73" t="e">
        <v>#N/A</v>
      </c>
      <c r="AI54" s="74"/>
      <c r="AJ54" s="72" t="e">
        <v>#N/A</v>
      </c>
      <c r="AK54" s="73" t="e">
        <v>#N/A</v>
      </c>
      <c r="AL54" s="74"/>
      <c r="AM54" s="72" t="e">
        <v>#N/A</v>
      </c>
      <c r="AN54" s="73" t="e">
        <v>#N/A</v>
      </c>
      <c r="AO54" s="74"/>
      <c r="AP54" s="72"/>
      <c r="AQ54" s="72"/>
      <c r="AR54" s="74"/>
      <c r="AS54" s="72"/>
      <c r="AT54" s="72"/>
      <c r="AU54" s="74"/>
      <c r="AV54" s="72"/>
      <c r="AW54" s="72"/>
      <c r="AX54" s="74"/>
      <c r="AY54" s="2" t="s">
        <v>653</v>
      </c>
    </row>
    <row r="55" spans="1:51" x14ac:dyDescent="0.25">
      <c r="A55" s="70" t="s">
        <v>1267</v>
      </c>
      <c r="B55" s="70" t="s">
        <v>1245</v>
      </c>
      <c r="C55" s="2" t="s">
        <v>989</v>
      </c>
      <c r="D55" s="71">
        <v>3</v>
      </c>
      <c r="E55" s="2">
        <v>3</v>
      </c>
      <c r="F55" s="71"/>
      <c r="G55" s="2"/>
      <c r="H55" s="71"/>
      <c r="I55" s="2"/>
      <c r="J55" s="71"/>
      <c r="K55" s="2"/>
      <c r="L55" s="71"/>
      <c r="M55" s="2"/>
      <c r="N55" s="71"/>
      <c r="O55" s="2"/>
      <c r="P55" s="71"/>
      <c r="Q55" s="2"/>
      <c r="R55" s="72">
        <v>3</v>
      </c>
      <c r="S55" s="73">
        <v>3</v>
      </c>
      <c r="T55" s="74"/>
      <c r="U55" s="73">
        <v>3</v>
      </c>
      <c r="V55" s="73">
        <v>3</v>
      </c>
      <c r="W55" s="74"/>
      <c r="X55" s="72">
        <v>3</v>
      </c>
      <c r="Y55" s="73">
        <v>3</v>
      </c>
      <c r="Z55" s="74"/>
      <c r="AA55" s="72" t="e">
        <v>#N/A</v>
      </c>
      <c r="AB55" s="72" t="e">
        <v>#N/A</v>
      </c>
      <c r="AC55" s="74"/>
      <c r="AD55" s="73">
        <v>3</v>
      </c>
      <c r="AE55" s="73">
        <v>3</v>
      </c>
      <c r="AF55" s="74"/>
      <c r="AG55" s="72">
        <v>3</v>
      </c>
      <c r="AH55" s="73">
        <v>3</v>
      </c>
      <c r="AI55" s="74"/>
      <c r="AJ55" s="72">
        <v>3</v>
      </c>
      <c r="AK55" s="73">
        <v>3</v>
      </c>
      <c r="AL55" s="74"/>
      <c r="AM55" s="72">
        <v>3</v>
      </c>
      <c r="AN55" s="73">
        <v>3</v>
      </c>
      <c r="AO55" s="74"/>
      <c r="AP55" s="72"/>
      <c r="AQ55" s="72"/>
      <c r="AR55" s="74"/>
      <c r="AS55" s="72"/>
      <c r="AT55" s="72"/>
      <c r="AU55" s="74"/>
      <c r="AV55" s="72"/>
      <c r="AW55" s="72"/>
      <c r="AX55" s="74"/>
      <c r="AY55" s="2" t="s">
        <v>81</v>
      </c>
    </row>
    <row r="56" spans="1:51" x14ac:dyDescent="0.25">
      <c r="A56" s="2" t="s">
        <v>1268</v>
      </c>
      <c r="B56" s="2" t="s">
        <v>1226</v>
      </c>
      <c r="C56" s="2" t="s">
        <v>1208</v>
      </c>
      <c r="D56" s="71" t="e">
        <v>#N/A</v>
      </c>
      <c r="E56" s="2" t="e">
        <v>#N/A</v>
      </c>
      <c r="F56" s="71"/>
      <c r="G56" s="2"/>
      <c r="H56" s="71"/>
      <c r="I56" s="2"/>
      <c r="J56" s="71"/>
      <c r="K56" s="2"/>
      <c r="L56" s="71"/>
      <c r="M56" s="2"/>
      <c r="N56" s="71"/>
      <c r="O56" s="2"/>
      <c r="P56" s="71"/>
      <c r="Q56" s="2"/>
      <c r="R56" s="72" t="e">
        <v>#N/A</v>
      </c>
      <c r="S56" s="72" t="e">
        <v>#N/A</v>
      </c>
      <c r="T56" s="74"/>
      <c r="U56" s="73">
        <v>3</v>
      </c>
      <c r="V56" s="73">
        <v>3</v>
      </c>
      <c r="W56" s="74"/>
      <c r="X56" s="72">
        <v>3</v>
      </c>
      <c r="Y56" s="73">
        <v>3</v>
      </c>
      <c r="Z56" s="74"/>
      <c r="AA56" s="72" t="e">
        <v>#N/A</v>
      </c>
      <c r="AB56" s="72" t="e">
        <v>#N/A</v>
      </c>
      <c r="AC56" s="74"/>
      <c r="AD56" s="73">
        <v>3</v>
      </c>
      <c r="AE56" s="73">
        <v>3</v>
      </c>
      <c r="AF56" s="74"/>
      <c r="AG56" s="72" t="e">
        <v>#N/A</v>
      </c>
      <c r="AH56" s="73" t="e">
        <v>#N/A</v>
      </c>
      <c r="AI56" s="74"/>
      <c r="AJ56" s="72" t="e">
        <v>#N/A</v>
      </c>
      <c r="AK56" s="73" t="e">
        <v>#N/A</v>
      </c>
      <c r="AL56" s="74"/>
      <c r="AM56" s="72" t="e">
        <v>#N/A</v>
      </c>
      <c r="AN56" s="73" t="e">
        <v>#N/A</v>
      </c>
      <c r="AO56" s="74"/>
      <c r="AP56" s="72"/>
      <c r="AQ56" s="72"/>
      <c r="AR56" s="74"/>
      <c r="AS56" s="72"/>
      <c r="AT56" s="72"/>
      <c r="AU56" s="74"/>
      <c r="AV56" s="72"/>
      <c r="AW56" s="72"/>
      <c r="AX56" s="74"/>
      <c r="AY56" s="2" t="s">
        <v>653</v>
      </c>
    </row>
    <row r="57" spans="1:51" x14ac:dyDescent="0.25">
      <c r="A57" s="2" t="s">
        <v>1269</v>
      </c>
      <c r="B57" s="2" t="s">
        <v>1226</v>
      </c>
      <c r="C57" s="2" t="s">
        <v>1208</v>
      </c>
      <c r="D57" s="71" t="e">
        <v>#N/A</v>
      </c>
      <c r="E57" s="2" t="e">
        <v>#N/A</v>
      </c>
      <c r="F57" s="71"/>
      <c r="G57" s="2"/>
      <c r="H57" s="71"/>
      <c r="I57" s="2"/>
      <c r="J57" s="71"/>
      <c r="K57" s="2"/>
      <c r="L57" s="71"/>
      <c r="M57" s="2"/>
      <c r="N57" s="71"/>
      <c r="O57" s="2"/>
      <c r="P57" s="71"/>
      <c r="Q57" s="2"/>
      <c r="R57" s="72" t="e">
        <v>#N/A</v>
      </c>
      <c r="S57" s="72" t="e">
        <v>#N/A</v>
      </c>
      <c r="T57" s="74"/>
      <c r="U57" s="73">
        <v>3</v>
      </c>
      <c r="V57" s="73">
        <v>3</v>
      </c>
      <c r="W57" s="74"/>
      <c r="X57" s="72">
        <v>3</v>
      </c>
      <c r="Y57" s="73">
        <v>3</v>
      </c>
      <c r="Z57" s="74"/>
      <c r="AA57" s="72" t="e">
        <v>#N/A</v>
      </c>
      <c r="AB57" s="72" t="e">
        <v>#N/A</v>
      </c>
      <c r="AC57" s="74"/>
      <c r="AD57" s="73">
        <v>3</v>
      </c>
      <c r="AE57" s="73">
        <v>3</v>
      </c>
      <c r="AF57" s="74"/>
      <c r="AG57" s="72" t="e">
        <v>#N/A</v>
      </c>
      <c r="AH57" s="73" t="e">
        <v>#N/A</v>
      </c>
      <c r="AI57" s="74"/>
      <c r="AJ57" s="72" t="e">
        <v>#N/A</v>
      </c>
      <c r="AK57" s="73" t="e">
        <v>#N/A</v>
      </c>
      <c r="AL57" s="74"/>
      <c r="AM57" s="72" t="e">
        <v>#N/A</v>
      </c>
      <c r="AN57" s="73" t="e">
        <v>#N/A</v>
      </c>
      <c r="AO57" s="74"/>
      <c r="AP57" s="72"/>
      <c r="AQ57" s="72"/>
      <c r="AR57" s="74"/>
      <c r="AS57" s="72"/>
      <c r="AT57" s="72"/>
      <c r="AU57" s="74"/>
      <c r="AV57" s="72"/>
      <c r="AW57" s="72"/>
      <c r="AX57" s="74"/>
      <c r="AY57" s="2" t="s">
        <v>653</v>
      </c>
    </row>
    <row r="58" spans="1:51" x14ac:dyDescent="0.25">
      <c r="A58" s="70" t="s">
        <v>865</v>
      </c>
      <c r="B58" s="70" t="s">
        <v>1217</v>
      </c>
      <c r="C58" s="2" t="s">
        <v>1208</v>
      </c>
      <c r="D58" s="71">
        <v>3</v>
      </c>
      <c r="E58" s="2">
        <v>3</v>
      </c>
      <c r="F58" s="71"/>
      <c r="G58" s="2"/>
      <c r="H58" s="71"/>
      <c r="I58" s="2"/>
      <c r="J58" s="71"/>
      <c r="K58" s="2"/>
      <c r="L58" s="71"/>
      <c r="M58" s="2"/>
      <c r="N58" s="71"/>
      <c r="O58" s="2"/>
      <c r="P58" s="71"/>
      <c r="Q58" s="2"/>
      <c r="R58" s="72">
        <v>2</v>
      </c>
      <c r="S58" s="73">
        <v>3</v>
      </c>
      <c r="T58" s="74"/>
      <c r="U58" s="73">
        <v>3</v>
      </c>
      <c r="V58" s="73">
        <v>3</v>
      </c>
      <c r="W58" s="74"/>
      <c r="X58" s="72" t="e">
        <v>#N/A</v>
      </c>
      <c r="Y58" s="72" t="e">
        <v>#N/A</v>
      </c>
      <c r="Z58" s="74">
        <v>3</v>
      </c>
      <c r="AA58" s="72" t="e">
        <v>#N/A</v>
      </c>
      <c r="AB58" s="72" t="e">
        <v>#N/A</v>
      </c>
      <c r="AC58" s="74"/>
      <c r="AD58" s="73">
        <v>3</v>
      </c>
      <c r="AE58" s="73">
        <v>3</v>
      </c>
      <c r="AF58" s="74"/>
      <c r="AG58" s="72">
        <v>3</v>
      </c>
      <c r="AH58" s="73">
        <v>3</v>
      </c>
      <c r="AI58" s="74"/>
      <c r="AJ58" s="72">
        <v>3</v>
      </c>
      <c r="AK58" s="73">
        <v>3</v>
      </c>
      <c r="AL58" s="74"/>
      <c r="AM58" s="72">
        <v>3</v>
      </c>
      <c r="AN58" s="73">
        <v>3</v>
      </c>
      <c r="AO58" s="74"/>
      <c r="AP58" s="72"/>
      <c r="AQ58" s="72"/>
      <c r="AR58" s="74"/>
      <c r="AS58" s="72"/>
      <c r="AT58" s="72"/>
      <c r="AU58" s="74"/>
      <c r="AV58" s="72"/>
      <c r="AW58" s="72"/>
      <c r="AX58" s="74"/>
      <c r="AY58" s="2" t="s">
        <v>866</v>
      </c>
    </row>
    <row r="59" spans="1:51" x14ac:dyDescent="0.25">
      <c r="A59" s="70" t="s">
        <v>1270</v>
      </c>
      <c r="B59" s="70" t="s">
        <v>1245</v>
      </c>
      <c r="C59" s="2" t="s">
        <v>989</v>
      </c>
      <c r="D59" s="71">
        <v>4</v>
      </c>
      <c r="E59" s="2">
        <v>1</v>
      </c>
      <c r="F59" s="71"/>
      <c r="G59" s="2"/>
      <c r="H59" s="71"/>
      <c r="I59" s="2"/>
      <c r="J59" s="71"/>
      <c r="K59" s="2"/>
      <c r="L59" s="71"/>
      <c r="M59" s="2"/>
      <c r="N59" s="71"/>
      <c r="O59" s="2"/>
      <c r="P59" s="71"/>
      <c r="Q59" s="2"/>
      <c r="R59" s="72" t="e">
        <v>#N/A</v>
      </c>
      <c r="S59" s="72" t="e">
        <v>#N/A</v>
      </c>
      <c r="T59" s="74"/>
      <c r="U59" s="73">
        <v>4</v>
      </c>
      <c r="V59" s="73">
        <v>2</v>
      </c>
      <c r="W59" s="74"/>
      <c r="X59" s="72">
        <v>4</v>
      </c>
      <c r="Y59" s="73">
        <v>2</v>
      </c>
      <c r="Z59" s="74"/>
      <c r="AA59" s="72">
        <v>4</v>
      </c>
      <c r="AB59" s="73">
        <v>2</v>
      </c>
      <c r="AC59" s="74"/>
      <c r="AD59" s="73">
        <v>4</v>
      </c>
      <c r="AE59" s="73">
        <v>2</v>
      </c>
      <c r="AF59" s="74"/>
      <c r="AG59" s="72">
        <v>4</v>
      </c>
      <c r="AH59" s="73">
        <v>1</v>
      </c>
      <c r="AI59" s="74"/>
      <c r="AJ59" s="72">
        <v>4</v>
      </c>
      <c r="AK59" s="73">
        <v>1</v>
      </c>
      <c r="AL59" s="74"/>
      <c r="AM59" s="72">
        <v>4</v>
      </c>
      <c r="AN59" s="73">
        <v>2</v>
      </c>
      <c r="AO59" s="74"/>
      <c r="AP59" s="72"/>
      <c r="AQ59" s="73"/>
      <c r="AR59" s="74"/>
      <c r="AS59" s="72"/>
      <c r="AT59" s="73"/>
      <c r="AU59" s="74"/>
      <c r="AV59" s="72"/>
      <c r="AW59" s="73"/>
      <c r="AX59" s="74"/>
      <c r="AY59" s="2" t="s">
        <v>1209</v>
      </c>
    </row>
    <row r="60" spans="1:51" x14ac:dyDescent="0.25">
      <c r="A60" s="2" t="s">
        <v>1271</v>
      </c>
      <c r="B60" s="2" t="s">
        <v>1226</v>
      </c>
      <c r="C60" s="2" t="s">
        <v>1208</v>
      </c>
      <c r="D60" s="71">
        <v>3</v>
      </c>
      <c r="E60" s="2">
        <v>3</v>
      </c>
      <c r="F60" s="71"/>
      <c r="G60" s="2"/>
      <c r="H60" s="71"/>
      <c r="I60" s="2"/>
      <c r="J60" s="71"/>
      <c r="K60" s="2"/>
      <c r="L60" s="71"/>
      <c r="M60" s="2"/>
      <c r="N60" s="71"/>
      <c r="O60" s="2"/>
      <c r="P60" s="71"/>
      <c r="Q60" s="2"/>
      <c r="R60" s="72" t="e">
        <v>#N/A</v>
      </c>
      <c r="S60" s="72" t="e">
        <v>#N/A</v>
      </c>
      <c r="T60" s="74"/>
      <c r="U60" s="73">
        <v>3</v>
      </c>
      <c r="V60" s="73">
        <v>3</v>
      </c>
      <c r="W60" s="74"/>
      <c r="X60" s="72">
        <v>3</v>
      </c>
      <c r="Y60" s="73">
        <v>3</v>
      </c>
      <c r="Z60" s="74"/>
      <c r="AA60" s="72" t="e">
        <v>#N/A</v>
      </c>
      <c r="AB60" s="72" t="e">
        <v>#N/A</v>
      </c>
      <c r="AC60" s="74"/>
      <c r="AD60" s="73">
        <v>3</v>
      </c>
      <c r="AE60" s="73">
        <v>3</v>
      </c>
      <c r="AF60" s="74"/>
      <c r="AG60" s="72" t="e">
        <v>#N/A</v>
      </c>
      <c r="AH60" s="73" t="e">
        <v>#N/A</v>
      </c>
      <c r="AI60" s="74"/>
      <c r="AJ60" s="72" t="e">
        <v>#N/A</v>
      </c>
      <c r="AK60" s="73" t="e">
        <v>#N/A</v>
      </c>
      <c r="AL60" s="74"/>
      <c r="AM60" s="72" t="e">
        <v>#N/A</v>
      </c>
      <c r="AN60" s="73" t="e">
        <v>#N/A</v>
      </c>
      <c r="AO60" s="74"/>
      <c r="AP60" s="72"/>
      <c r="AQ60" s="72"/>
      <c r="AR60" s="74"/>
      <c r="AS60" s="72"/>
      <c r="AT60" s="72"/>
      <c r="AU60" s="74"/>
      <c r="AV60" s="72"/>
      <c r="AW60" s="72"/>
      <c r="AX60" s="74"/>
      <c r="AY60" s="2" t="s">
        <v>653</v>
      </c>
    </row>
    <row r="61" spans="1:51" x14ac:dyDescent="0.25">
      <c r="A61" s="2" t="s">
        <v>1272</v>
      </c>
      <c r="B61" s="2" t="s">
        <v>1226</v>
      </c>
      <c r="C61" s="2" t="s">
        <v>1208</v>
      </c>
      <c r="D61" s="71" t="e">
        <v>#N/A</v>
      </c>
      <c r="E61" s="2" t="e">
        <v>#N/A</v>
      </c>
      <c r="F61" s="71"/>
      <c r="G61" s="2"/>
      <c r="H61" s="71"/>
      <c r="I61" s="2"/>
      <c r="J61" s="71"/>
      <c r="K61" s="2"/>
      <c r="L61" s="71"/>
      <c r="M61" s="2"/>
      <c r="N61" s="71"/>
      <c r="O61" s="2"/>
      <c r="P61" s="71"/>
      <c r="Q61" s="2"/>
      <c r="R61" s="72" t="e">
        <v>#N/A</v>
      </c>
      <c r="S61" s="72" t="e">
        <v>#N/A</v>
      </c>
      <c r="T61" s="74"/>
      <c r="U61" s="72" t="e">
        <v>#N/A</v>
      </c>
      <c r="V61" s="72" t="e">
        <v>#N/A</v>
      </c>
      <c r="W61" s="74"/>
      <c r="X61" s="72" t="e">
        <v>#N/A</v>
      </c>
      <c r="Y61" s="72" t="e">
        <v>#N/A</v>
      </c>
      <c r="Z61" s="74"/>
      <c r="AA61" s="72" t="e">
        <v>#N/A</v>
      </c>
      <c r="AB61" s="72" t="e">
        <v>#N/A</v>
      </c>
      <c r="AC61" s="74"/>
      <c r="AD61" s="73" t="e">
        <v>#N/A</v>
      </c>
      <c r="AE61" s="73" t="e">
        <v>#N/A</v>
      </c>
      <c r="AF61" s="74"/>
      <c r="AG61" s="72" t="e">
        <v>#N/A</v>
      </c>
      <c r="AH61" s="73" t="e">
        <v>#N/A</v>
      </c>
      <c r="AI61" s="74"/>
      <c r="AJ61" s="72" t="e">
        <v>#N/A</v>
      </c>
      <c r="AK61" s="73" t="e">
        <v>#N/A</v>
      </c>
      <c r="AL61" s="74"/>
      <c r="AM61" s="72" t="e">
        <v>#N/A</v>
      </c>
      <c r="AN61" s="73" t="e">
        <v>#N/A</v>
      </c>
      <c r="AO61" s="74"/>
      <c r="AP61" s="72"/>
      <c r="AQ61" s="72"/>
      <c r="AR61" s="74"/>
      <c r="AS61" s="72"/>
      <c r="AT61" s="72"/>
      <c r="AU61" s="74"/>
      <c r="AV61" s="72"/>
      <c r="AW61" s="72"/>
      <c r="AX61" s="74"/>
      <c r="AY61" s="2" t="s">
        <v>1273</v>
      </c>
    </row>
    <row r="62" spans="1:51" x14ac:dyDescent="0.25">
      <c r="A62" s="70" t="s">
        <v>1068</v>
      </c>
      <c r="B62" s="70" t="s">
        <v>1217</v>
      </c>
      <c r="C62" s="2" t="s">
        <v>1208</v>
      </c>
      <c r="D62" s="71">
        <v>3</v>
      </c>
      <c r="E62" s="2">
        <v>3</v>
      </c>
      <c r="F62" s="71"/>
      <c r="G62" s="2"/>
      <c r="H62" s="71"/>
      <c r="I62" s="2"/>
      <c r="J62" s="71"/>
      <c r="K62" s="2"/>
      <c r="L62" s="71"/>
      <c r="M62" s="2"/>
      <c r="N62" s="71"/>
      <c r="O62" s="2"/>
      <c r="P62" s="71"/>
      <c r="Q62" s="2"/>
      <c r="R62" s="72">
        <v>4</v>
      </c>
      <c r="S62" s="73">
        <v>4</v>
      </c>
      <c r="T62" s="74"/>
      <c r="U62" s="73">
        <v>3</v>
      </c>
      <c r="V62" s="73">
        <v>3</v>
      </c>
      <c r="W62" s="74"/>
      <c r="X62" s="72">
        <v>4</v>
      </c>
      <c r="Y62" s="73">
        <v>4</v>
      </c>
      <c r="Z62" s="74"/>
      <c r="AA62" s="72" t="e">
        <v>#N/A</v>
      </c>
      <c r="AB62" s="72" t="e">
        <v>#N/A</v>
      </c>
      <c r="AC62" s="74"/>
      <c r="AD62" s="73">
        <v>4</v>
      </c>
      <c r="AE62" s="73">
        <v>4</v>
      </c>
      <c r="AF62" s="74"/>
      <c r="AG62" s="72">
        <v>4</v>
      </c>
      <c r="AH62" s="73">
        <v>4</v>
      </c>
      <c r="AI62" s="74"/>
      <c r="AJ62" s="72">
        <v>4</v>
      </c>
      <c r="AK62" s="73">
        <v>4</v>
      </c>
      <c r="AL62" s="74"/>
      <c r="AM62" s="72">
        <v>3</v>
      </c>
      <c r="AN62" s="73">
        <v>3</v>
      </c>
      <c r="AO62" s="74"/>
      <c r="AP62" s="72"/>
      <c r="AQ62" s="72"/>
      <c r="AR62" s="74"/>
      <c r="AS62" s="72"/>
      <c r="AT62" s="72"/>
      <c r="AU62" s="74"/>
      <c r="AV62" s="72"/>
      <c r="AW62" s="72"/>
      <c r="AX62" s="74"/>
      <c r="AY62" s="2" t="s">
        <v>1274</v>
      </c>
    </row>
    <row r="64" spans="1:51" x14ac:dyDescent="0.25">
      <c r="C64" s="117" t="s">
        <v>953</v>
      </c>
      <c r="D64" s="553" t="s">
        <v>955</v>
      </c>
      <c r="E64" s="553"/>
      <c r="F64" s="553" t="s">
        <v>956</v>
      </c>
      <c r="G64" s="553"/>
      <c r="H64" s="553" t="s">
        <v>956</v>
      </c>
      <c r="I64" s="553"/>
      <c r="J64" s="553" t="s">
        <v>956</v>
      </c>
      <c r="K64" s="553"/>
      <c r="L64" s="553" t="s">
        <v>956</v>
      </c>
      <c r="M64" s="553"/>
      <c r="N64" s="553" t="s">
        <v>956</v>
      </c>
      <c r="O64" s="553"/>
      <c r="P64" s="553" t="s">
        <v>956</v>
      </c>
      <c r="Q64" s="553"/>
      <c r="R64" s="538" t="s">
        <v>961</v>
      </c>
      <c r="S64" s="539"/>
      <c r="T64" s="555"/>
      <c r="U64" s="538" t="s">
        <v>962</v>
      </c>
      <c r="V64" s="554"/>
      <c r="W64" s="555"/>
      <c r="X64" s="538" t="s">
        <v>1275</v>
      </c>
      <c r="Y64" s="539"/>
      <c r="Z64" s="555"/>
      <c r="AA64" s="538" t="s">
        <v>964</v>
      </c>
      <c r="AB64" s="539"/>
      <c r="AC64" s="539"/>
      <c r="AD64" s="538" t="s">
        <v>954</v>
      </c>
      <c r="AE64" s="539"/>
      <c r="AF64" s="540"/>
      <c r="AG64" s="538" t="s">
        <v>955</v>
      </c>
      <c r="AH64" s="539"/>
      <c r="AI64" s="540"/>
      <c r="AJ64" s="538" t="s">
        <v>956</v>
      </c>
      <c r="AK64" s="539"/>
      <c r="AL64" s="540"/>
      <c r="AM64" s="538" t="s">
        <v>957</v>
      </c>
      <c r="AN64" s="539"/>
      <c r="AO64" s="540"/>
      <c r="AP64" s="538" t="s">
        <v>958</v>
      </c>
      <c r="AQ64" s="539"/>
      <c r="AR64" s="540"/>
      <c r="AS64" s="538" t="s">
        <v>959</v>
      </c>
      <c r="AT64" s="539"/>
      <c r="AU64" s="540"/>
      <c r="AV64" s="538" t="s">
        <v>960</v>
      </c>
      <c r="AW64" s="539"/>
      <c r="AX64" s="540"/>
    </row>
    <row r="65" spans="3:50" x14ac:dyDescent="0.25">
      <c r="C65" s="77"/>
      <c r="D65" s="78" t="s">
        <v>965</v>
      </c>
      <c r="E65" s="79" t="s">
        <v>966</v>
      </c>
      <c r="F65" s="78" t="s">
        <v>965</v>
      </c>
      <c r="G65" s="79" t="s">
        <v>966</v>
      </c>
      <c r="H65" s="78" t="s">
        <v>965</v>
      </c>
      <c r="I65" s="79" t="s">
        <v>966</v>
      </c>
      <c r="J65" s="78" t="s">
        <v>965</v>
      </c>
      <c r="K65" s="79" t="s">
        <v>966</v>
      </c>
      <c r="L65" s="78" t="s">
        <v>965</v>
      </c>
      <c r="M65" s="79" t="s">
        <v>966</v>
      </c>
      <c r="N65" s="78" t="s">
        <v>965</v>
      </c>
      <c r="O65" s="79" t="s">
        <v>966</v>
      </c>
      <c r="P65" s="78" t="s">
        <v>965</v>
      </c>
      <c r="Q65" s="79" t="s">
        <v>966</v>
      </c>
      <c r="R65" s="80" t="s">
        <v>965</v>
      </c>
      <c r="S65" s="81" t="s">
        <v>966</v>
      </c>
      <c r="T65" s="82" t="s">
        <v>1205</v>
      </c>
      <c r="U65" s="80" t="s">
        <v>965</v>
      </c>
      <c r="V65" s="81" t="s">
        <v>966</v>
      </c>
      <c r="W65" s="82" t="s">
        <v>1205</v>
      </c>
      <c r="X65" s="80" t="s">
        <v>965</v>
      </c>
      <c r="Y65" s="81" t="s">
        <v>966</v>
      </c>
      <c r="Z65" s="82" t="s">
        <v>1205</v>
      </c>
      <c r="AA65" s="80" t="s">
        <v>965</v>
      </c>
      <c r="AB65" s="81" t="s">
        <v>966</v>
      </c>
      <c r="AC65" s="82" t="s">
        <v>1205</v>
      </c>
      <c r="AD65" s="80" t="s">
        <v>965</v>
      </c>
      <c r="AE65" s="81" t="s">
        <v>966</v>
      </c>
      <c r="AF65" s="82" t="s">
        <v>1205</v>
      </c>
      <c r="AG65" s="80" t="s">
        <v>965</v>
      </c>
      <c r="AH65" s="81" t="s">
        <v>966</v>
      </c>
      <c r="AI65" s="82" t="s">
        <v>1205</v>
      </c>
      <c r="AJ65" s="80" t="s">
        <v>965</v>
      </c>
      <c r="AK65" s="81" t="s">
        <v>966</v>
      </c>
      <c r="AL65" s="82" t="s">
        <v>1205</v>
      </c>
      <c r="AM65" s="80" t="s">
        <v>965</v>
      </c>
      <c r="AN65" s="81" t="s">
        <v>966</v>
      </c>
      <c r="AO65" s="82" t="s">
        <v>1205</v>
      </c>
      <c r="AP65" s="80" t="s">
        <v>965</v>
      </c>
      <c r="AQ65" s="81" t="s">
        <v>966</v>
      </c>
      <c r="AR65" s="82" t="s">
        <v>1205</v>
      </c>
      <c r="AS65" s="80" t="s">
        <v>965</v>
      </c>
      <c r="AT65" s="81" t="s">
        <v>966</v>
      </c>
      <c r="AU65" s="82" t="s">
        <v>1205</v>
      </c>
      <c r="AV65" s="80" t="s">
        <v>965</v>
      </c>
      <c r="AW65" s="81" t="s">
        <v>966</v>
      </c>
      <c r="AX65" s="82" t="s">
        <v>1205</v>
      </c>
    </row>
    <row r="66" spans="3:50" x14ac:dyDescent="0.25">
      <c r="C66" s="83" t="s">
        <v>967</v>
      </c>
      <c r="D66" s="84"/>
      <c r="E66" s="85"/>
      <c r="F66" s="84"/>
      <c r="G66" s="44"/>
      <c r="H66" s="84"/>
      <c r="I66" s="44"/>
      <c r="J66" s="84"/>
      <c r="K66" s="44"/>
      <c r="L66" s="84"/>
      <c r="M66" s="44"/>
      <c r="N66" s="84"/>
      <c r="O66" s="44"/>
      <c r="P66" s="84"/>
      <c r="Q66" s="44"/>
      <c r="R66" s="86"/>
      <c r="S66" s="35"/>
      <c r="T66" s="87"/>
      <c r="U66" s="86"/>
      <c r="V66" s="35">
        <v>2</v>
      </c>
      <c r="W66" s="87"/>
      <c r="X66" s="86">
        <v>2</v>
      </c>
      <c r="Y66" s="35">
        <v>2</v>
      </c>
      <c r="Z66" s="87"/>
      <c r="AA66" s="86">
        <f>COUNTIF($AA$6:$AA$62,1)</f>
        <v>0</v>
      </c>
      <c r="AB66" s="35">
        <f>COUNTIF($AB$6:$AB$62,1)</f>
        <v>0</v>
      </c>
      <c r="AC66" s="87">
        <f>COUNTIF($AC$6:$AC$62,1)</f>
        <v>0</v>
      </c>
      <c r="AD66" s="86">
        <f>COUNTIF(AD6:AD62,1)</f>
        <v>1</v>
      </c>
      <c r="AE66" s="35">
        <f>COUNTIF($AE$6:$AE$62,1)</f>
        <v>2</v>
      </c>
      <c r="AF66" s="87">
        <f>COUNTIF($AF$6:$AF$62,1)</f>
        <v>0</v>
      </c>
      <c r="AG66" s="86">
        <f>COUNTIF(AG6:AG62,1)</f>
        <v>0</v>
      </c>
      <c r="AH66" s="35">
        <f>COUNTIF($AE$6:$AE$62,1)</f>
        <v>2</v>
      </c>
      <c r="AI66" s="87">
        <f>COUNTIF($AF$6:$AF$62,1)</f>
        <v>0</v>
      </c>
      <c r="AJ66" s="86">
        <f t="shared" ref="AJ66:AX66" si="0">COUNTIF(AJ6:AJ62,1)</f>
        <v>1</v>
      </c>
      <c r="AK66" s="35">
        <f t="shared" si="0"/>
        <v>4</v>
      </c>
      <c r="AL66" s="87">
        <f t="shared" si="0"/>
        <v>0</v>
      </c>
      <c r="AM66" s="86">
        <f t="shared" si="0"/>
        <v>0</v>
      </c>
      <c r="AN66" s="35">
        <f t="shared" si="0"/>
        <v>0</v>
      </c>
      <c r="AO66" s="87">
        <f t="shared" si="0"/>
        <v>0</v>
      </c>
      <c r="AP66" s="86">
        <f t="shared" si="0"/>
        <v>0</v>
      </c>
      <c r="AQ66" s="35">
        <f t="shared" si="0"/>
        <v>0</v>
      </c>
      <c r="AR66" s="87">
        <f t="shared" si="0"/>
        <v>0</v>
      </c>
      <c r="AS66" s="86">
        <f t="shared" si="0"/>
        <v>0</v>
      </c>
      <c r="AT66" s="35">
        <f t="shared" si="0"/>
        <v>0</v>
      </c>
      <c r="AU66" s="87">
        <f t="shared" si="0"/>
        <v>0</v>
      </c>
      <c r="AV66" s="86">
        <f t="shared" si="0"/>
        <v>0</v>
      </c>
      <c r="AW66" s="35">
        <f t="shared" si="0"/>
        <v>0</v>
      </c>
      <c r="AX66" s="87">
        <f t="shared" si="0"/>
        <v>0</v>
      </c>
    </row>
    <row r="67" spans="3:50" x14ac:dyDescent="0.25">
      <c r="C67" s="83" t="s">
        <v>968</v>
      </c>
      <c r="D67" s="71"/>
      <c r="E67" s="2"/>
      <c r="F67" s="71"/>
      <c r="G67" s="33"/>
      <c r="H67" s="71"/>
      <c r="I67" s="33"/>
      <c r="J67" s="71"/>
      <c r="K67" s="33"/>
      <c r="L67" s="71"/>
      <c r="M67" s="33"/>
      <c r="N67" s="71"/>
      <c r="O67" s="33"/>
      <c r="P67" s="71"/>
      <c r="Q67" s="33"/>
      <c r="R67" s="86">
        <v>3</v>
      </c>
      <c r="S67" s="35">
        <v>5</v>
      </c>
      <c r="T67" s="87"/>
      <c r="U67" s="86">
        <v>1</v>
      </c>
      <c r="V67" s="35">
        <v>2</v>
      </c>
      <c r="W67" s="87"/>
      <c r="X67" s="86">
        <v>1</v>
      </c>
      <c r="Y67" s="35">
        <v>3</v>
      </c>
      <c r="Z67" s="87"/>
      <c r="AA67" s="86">
        <f>COUNTIF($AA$6:$AA$62,2)</f>
        <v>0</v>
      </c>
      <c r="AB67" s="35">
        <f>COUNTIF($AB$6:$AB$62,2)</f>
        <v>4</v>
      </c>
      <c r="AC67" s="87">
        <f>COUNTIF($AC$6:$AC$62,2)</f>
        <v>0</v>
      </c>
      <c r="AD67" s="86">
        <f>COUNTIF($AD$6:$AD$62,2)</f>
        <v>0</v>
      </c>
      <c r="AE67" s="35">
        <f>COUNTIF($AE$6:$AE$62,2)</f>
        <v>4</v>
      </c>
      <c r="AF67" s="87">
        <f>COUNTIF($AF$6:$AF$62,2)</f>
        <v>0</v>
      </c>
      <c r="AG67" s="86">
        <f>COUNTIF($AD$6:$AD$62,2)</f>
        <v>0</v>
      </c>
      <c r="AH67" s="35">
        <f>COUNTIF($AE$6:$AE$62,2)</f>
        <v>4</v>
      </c>
      <c r="AI67" s="87">
        <f>COUNTIF($AF$6:$AF$62,2)</f>
        <v>0</v>
      </c>
      <c r="AJ67" s="86">
        <f t="shared" ref="AJ67:AX67" si="1">COUNTIF(AJ7:AJ63,2)</f>
        <v>2</v>
      </c>
      <c r="AK67" s="35">
        <f t="shared" si="1"/>
        <v>4</v>
      </c>
      <c r="AL67" s="87">
        <f t="shared" si="1"/>
        <v>0</v>
      </c>
      <c r="AM67" s="86">
        <f t="shared" si="1"/>
        <v>0</v>
      </c>
      <c r="AN67" s="35">
        <f t="shared" si="1"/>
        <v>7</v>
      </c>
      <c r="AO67" s="87">
        <f t="shared" si="1"/>
        <v>0</v>
      </c>
      <c r="AP67" s="86">
        <f t="shared" si="1"/>
        <v>0</v>
      </c>
      <c r="AQ67" s="35">
        <f t="shared" si="1"/>
        <v>0</v>
      </c>
      <c r="AR67" s="87">
        <f t="shared" si="1"/>
        <v>0</v>
      </c>
      <c r="AS67" s="86">
        <f t="shared" si="1"/>
        <v>0</v>
      </c>
      <c r="AT67" s="35">
        <f t="shared" si="1"/>
        <v>0</v>
      </c>
      <c r="AU67" s="87">
        <f t="shared" si="1"/>
        <v>0</v>
      </c>
      <c r="AV67" s="86">
        <f t="shared" si="1"/>
        <v>0</v>
      </c>
      <c r="AW67" s="35">
        <f t="shared" si="1"/>
        <v>0</v>
      </c>
      <c r="AX67" s="87">
        <f t="shared" si="1"/>
        <v>0</v>
      </c>
    </row>
    <row r="68" spans="3:50" x14ac:dyDescent="0.25">
      <c r="C68" s="83" t="s">
        <v>969</v>
      </c>
      <c r="D68" s="71"/>
      <c r="E68" s="2"/>
      <c r="F68" s="71"/>
      <c r="G68" s="33"/>
      <c r="H68" s="71"/>
      <c r="I68" s="33"/>
      <c r="J68" s="71"/>
      <c r="K68" s="33"/>
      <c r="L68" s="71"/>
      <c r="M68" s="33"/>
      <c r="N68" s="71"/>
      <c r="O68" s="33"/>
      <c r="P68" s="71"/>
      <c r="Q68" s="33"/>
      <c r="R68" s="86">
        <v>13</v>
      </c>
      <c r="S68" s="35">
        <v>15</v>
      </c>
      <c r="T68" s="87">
        <v>2</v>
      </c>
      <c r="U68" s="86">
        <v>21</v>
      </c>
      <c r="V68" s="35">
        <v>21</v>
      </c>
      <c r="W68" s="87">
        <v>1</v>
      </c>
      <c r="X68" s="86">
        <v>16</v>
      </c>
      <c r="Y68" s="35">
        <v>17</v>
      </c>
      <c r="Z68" s="87">
        <v>3</v>
      </c>
      <c r="AA68" s="86">
        <f>COUNTIF($AA$6:$AA$62,3)</f>
        <v>8</v>
      </c>
      <c r="AB68" s="35">
        <f>COUNTIF($AB$6:$AB$62,3)</f>
        <v>8</v>
      </c>
      <c r="AC68" s="87">
        <f>COUNTIF($AC$6:$AC$62,3)</f>
        <v>0</v>
      </c>
      <c r="AD68" s="86">
        <f>COUNTIF($AD$6:$AD$62,3)</f>
        <v>17</v>
      </c>
      <c r="AE68" s="35">
        <f>COUNTIF($AE$6:$AE$62,3)</f>
        <v>16</v>
      </c>
      <c r="AF68" s="87">
        <f>COUNTIF($AF$6:$AF$62,3)</f>
        <v>0</v>
      </c>
      <c r="AG68" s="86">
        <f>COUNTIF($AD$6:$AD$62,3)</f>
        <v>17</v>
      </c>
      <c r="AH68" s="35">
        <f>COUNTIF($AE$6:$AE$62,3)</f>
        <v>16</v>
      </c>
      <c r="AI68" s="87">
        <f>COUNTIF($AF$6:$AF$62,3)</f>
        <v>0</v>
      </c>
      <c r="AJ68" s="86">
        <f t="shared" ref="AJ68:AX68" si="2">COUNTIF(AJ8:AJ64,3)</f>
        <v>17</v>
      </c>
      <c r="AK68" s="35">
        <f t="shared" si="2"/>
        <v>14</v>
      </c>
      <c r="AL68" s="87">
        <f t="shared" si="2"/>
        <v>0</v>
      </c>
      <c r="AM68" s="86">
        <f t="shared" si="2"/>
        <v>16</v>
      </c>
      <c r="AN68" s="35">
        <f t="shared" si="2"/>
        <v>12</v>
      </c>
      <c r="AO68" s="87">
        <f t="shared" si="2"/>
        <v>0</v>
      </c>
      <c r="AP68" s="86">
        <f t="shared" si="2"/>
        <v>0</v>
      </c>
      <c r="AQ68" s="35">
        <f t="shared" si="2"/>
        <v>0</v>
      </c>
      <c r="AR68" s="87">
        <f t="shared" si="2"/>
        <v>0</v>
      </c>
      <c r="AS68" s="86">
        <f t="shared" si="2"/>
        <v>0</v>
      </c>
      <c r="AT68" s="35">
        <f t="shared" si="2"/>
        <v>0</v>
      </c>
      <c r="AU68" s="87">
        <f t="shared" si="2"/>
        <v>0</v>
      </c>
      <c r="AV68" s="86">
        <f t="shared" si="2"/>
        <v>0</v>
      </c>
      <c r="AW68" s="35">
        <f t="shared" si="2"/>
        <v>0</v>
      </c>
      <c r="AX68" s="87">
        <f t="shared" si="2"/>
        <v>0</v>
      </c>
    </row>
    <row r="69" spans="3:50" x14ac:dyDescent="0.25">
      <c r="C69" s="83" t="s">
        <v>970</v>
      </c>
      <c r="D69" s="71"/>
      <c r="E69" s="2"/>
      <c r="F69" s="71"/>
      <c r="G69" s="33"/>
      <c r="H69" s="71"/>
      <c r="I69" s="33"/>
      <c r="J69" s="71"/>
      <c r="K69" s="33"/>
      <c r="L69" s="71"/>
      <c r="M69" s="33"/>
      <c r="N69" s="71"/>
      <c r="O69" s="33"/>
      <c r="P69" s="71"/>
      <c r="Q69" s="33"/>
      <c r="R69" s="86">
        <v>11</v>
      </c>
      <c r="S69" s="35">
        <v>7</v>
      </c>
      <c r="T69" s="87"/>
      <c r="U69" s="86">
        <v>13</v>
      </c>
      <c r="V69" s="35">
        <v>10</v>
      </c>
      <c r="W69" s="87"/>
      <c r="X69" s="86">
        <v>12</v>
      </c>
      <c r="Y69" s="35">
        <v>9</v>
      </c>
      <c r="Z69" s="87"/>
      <c r="AA69" s="86">
        <f>COUNTIF($AA$6:$AA$62,4)</f>
        <v>7</v>
      </c>
      <c r="AB69" s="35">
        <f>COUNTIF($AB$6:$AB$62,4)</f>
        <v>4</v>
      </c>
      <c r="AC69" s="87">
        <f>COUNTIF($AC$6:$AC$62,4)</f>
        <v>0</v>
      </c>
      <c r="AD69" s="86">
        <f>COUNTIF($AD$6:$AD$62,4)</f>
        <v>13</v>
      </c>
      <c r="AE69" s="35">
        <f>COUNTIF($AE$6:$AE$62,4)</f>
        <v>9</v>
      </c>
      <c r="AF69" s="87">
        <f>COUNTIF($AF$6:$AF$62,4)</f>
        <v>0</v>
      </c>
      <c r="AG69" s="86">
        <f>COUNTIF($AD$6:$AD$62,4)</f>
        <v>13</v>
      </c>
      <c r="AH69" s="35">
        <f>COUNTIF($AE$6:$AE$62,4)</f>
        <v>9</v>
      </c>
      <c r="AI69" s="87">
        <f>COUNTIF($AF$6:$AF$62,4)</f>
        <v>0</v>
      </c>
      <c r="AJ69" s="86">
        <f t="shared" ref="AJ69:AX69" si="3">COUNTIF(AJ9:AJ65,4)</f>
        <v>6</v>
      </c>
      <c r="AK69" s="35">
        <f t="shared" si="3"/>
        <v>5</v>
      </c>
      <c r="AL69" s="87">
        <f t="shared" si="3"/>
        <v>0</v>
      </c>
      <c r="AM69" s="86">
        <f t="shared" si="3"/>
        <v>7</v>
      </c>
      <c r="AN69" s="35">
        <f t="shared" si="3"/>
        <v>4</v>
      </c>
      <c r="AO69" s="87">
        <f t="shared" si="3"/>
        <v>0</v>
      </c>
      <c r="AP69" s="86">
        <f t="shared" si="3"/>
        <v>0</v>
      </c>
      <c r="AQ69" s="35">
        <f t="shared" si="3"/>
        <v>0</v>
      </c>
      <c r="AR69" s="87">
        <f t="shared" si="3"/>
        <v>0</v>
      </c>
      <c r="AS69" s="86">
        <f t="shared" si="3"/>
        <v>0</v>
      </c>
      <c r="AT69" s="35">
        <f t="shared" si="3"/>
        <v>0</v>
      </c>
      <c r="AU69" s="87">
        <f t="shared" si="3"/>
        <v>0</v>
      </c>
      <c r="AV69" s="86">
        <f t="shared" si="3"/>
        <v>0</v>
      </c>
      <c r="AW69" s="35">
        <f t="shared" si="3"/>
        <v>0</v>
      </c>
      <c r="AX69" s="87">
        <f t="shared" si="3"/>
        <v>0</v>
      </c>
    </row>
    <row r="70" spans="3:50" x14ac:dyDescent="0.25">
      <c r="C70" s="83" t="s">
        <v>971</v>
      </c>
      <c r="D70" s="71"/>
      <c r="E70" s="2"/>
      <c r="F70" s="71"/>
      <c r="G70" s="33"/>
      <c r="H70" s="71"/>
      <c r="I70" s="33"/>
      <c r="J70" s="71"/>
      <c r="K70" s="33"/>
      <c r="L70" s="71"/>
      <c r="M70" s="33"/>
      <c r="N70" s="71"/>
      <c r="O70" s="33"/>
      <c r="P70" s="71"/>
      <c r="Q70" s="33"/>
      <c r="R70" s="86">
        <v>57</v>
      </c>
      <c r="S70" s="35">
        <v>57</v>
      </c>
      <c r="T70" s="87">
        <v>57</v>
      </c>
      <c r="U70" s="86">
        <v>57</v>
      </c>
      <c r="V70" s="35">
        <v>57</v>
      </c>
      <c r="W70" s="87">
        <v>57</v>
      </c>
      <c r="X70" s="86">
        <v>57</v>
      </c>
      <c r="Y70" s="35">
        <v>57</v>
      </c>
      <c r="Z70" s="87">
        <v>57</v>
      </c>
      <c r="AA70" s="86">
        <v>57</v>
      </c>
      <c r="AB70" s="35">
        <v>57</v>
      </c>
      <c r="AC70" s="87">
        <v>57</v>
      </c>
      <c r="AD70" s="86">
        <v>57</v>
      </c>
      <c r="AE70" s="35">
        <v>57</v>
      </c>
      <c r="AF70" s="87">
        <v>57</v>
      </c>
      <c r="AG70" s="86">
        <v>57</v>
      </c>
      <c r="AH70" s="35">
        <v>57</v>
      </c>
      <c r="AI70" s="87">
        <v>57</v>
      </c>
      <c r="AJ70" s="87">
        <v>57</v>
      </c>
      <c r="AK70" s="87">
        <v>57</v>
      </c>
      <c r="AL70" s="87">
        <v>57</v>
      </c>
      <c r="AM70" s="87">
        <v>57</v>
      </c>
      <c r="AN70" s="87">
        <v>57</v>
      </c>
      <c r="AO70" s="87">
        <v>57</v>
      </c>
      <c r="AP70" s="87">
        <v>57</v>
      </c>
      <c r="AQ70" s="87">
        <v>57</v>
      </c>
      <c r="AR70" s="87">
        <v>57</v>
      </c>
      <c r="AS70" s="87">
        <v>57</v>
      </c>
      <c r="AT70" s="87">
        <v>57</v>
      </c>
      <c r="AU70" s="87">
        <v>57</v>
      </c>
      <c r="AV70" s="87">
        <v>57</v>
      </c>
      <c r="AW70" s="87">
        <v>57</v>
      </c>
      <c r="AX70" s="87">
        <v>57</v>
      </c>
    </row>
    <row r="71" spans="3:50" x14ac:dyDescent="0.25">
      <c r="C71" s="83" t="s">
        <v>1276</v>
      </c>
      <c r="D71" s="71"/>
      <c r="E71" s="2"/>
      <c r="F71" s="71"/>
      <c r="G71" s="33"/>
      <c r="H71" s="71"/>
      <c r="I71" s="33"/>
      <c r="J71" s="71"/>
      <c r="K71" s="33"/>
      <c r="L71" s="71"/>
      <c r="M71" s="33"/>
      <c r="N71" s="71"/>
      <c r="O71" s="33"/>
      <c r="P71" s="71"/>
      <c r="Q71" s="33"/>
      <c r="R71" s="86"/>
      <c r="S71" s="35"/>
      <c r="T71" s="87"/>
      <c r="U71" s="86"/>
      <c r="V71" s="35"/>
      <c r="W71" s="87"/>
      <c r="X71" s="86"/>
      <c r="Y71" s="35"/>
      <c r="Z71" s="87"/>
      <c r="AA71" s="86"/>
      <c r="AB71" s="35"/>
      <c r="AC71" s="87"/>
      <c r="AD71" s="86"/>
      <c r="AE71" s="35"/>
      <c r="AF71" s="87"/>
      <c r="AG71" s="86"/>
      <c r="AH71" s="35"/>
      <c r="AI71" s="87"/>
      <c r="AJ71" s="86"/>
      <c r="AK71" s="35"/>
      <c r="AL71" s="87"/>
      <c r="AM71" s="86"/>
      <c r="AN71" s="35"/>
      <c r="AO71" s="87"/>
      <c r="AP71" s="86"/>
      <c r="AQ71" s="35"/>
      <c r="AR71" s="87"/>
      <c r="AS71" s="86"/>
      <c r="AT71" s="35"/>
      <c r="AU71" s="87"/>
      <c r="AV71" s="86"/>
      <c r="AW71" s="35"/>
      <c r="AX71" s="87"/>
    </row>
    <row r="72" spans="3:50" x14ac:dyDescent="0.25">
      <c r="C72" s="83" t="s">
        <v>973</v>
      </c>
      <c r="D72" s="71"/>
      <c r="E72" s="22"/>
      <c r="F72" s="71"/>
      <c r="G72" s="24"/>
      <c r="H72" s="71"/>
      <c r="I72" s="24"/>
      <c r="J72" s="71"/>
      <c r="K72" s="24"/>
      <c r="L72" s="71"/>
      <c r="M72" s="24"/>
      <c r="N72" s="71"/>
      <c r="O72" s="24"/>
      <c r="P72" s="71"/>
      <c r="Q72" s="24"/>
      <c r="R72" s="86"/>
      <c r="S72" s="35"/>
      <c r="T72" s="87"/>
      <c r="U72" s="86"/>
      <c r="V72" s="35"/>
      <c r="W72" s="87"/>
      <c r="X72" s="86"/>
      <c r="Y72" s="35"/>
      <c r="Z72" s="87"/>
      <c r="AA72" s="86">
        <f t="shared" ref="AA72:AF72" si="4">COUNTIF(AA6:AA62,#N/A)</f>
        <v>42</v>
      </c>
      <c r="AB72" s="35">
        <f t="shared" si="4"/>
        <v>41</v>
      </c>
      <c r="AC72" s="87">
        <f t="shared" si="4"/>
        <v>0</v>
      </c>
      <c r="AD72" s="86">
        <f t="shared" si="4"/>
        <v>26</v>
      </c>
      <c r="AE72" s="35">
        <f t="shared" si="4"/>
        <v>26</v>
      </c>
      <c r="AF72" s="87">
        <f t="shared" si="4"/>
        <v>0</v>
      </c>
      <c r="AG72" s="86">
        <f>COUNTIF(AG6:AG62,#N/A)</f>
        <v>29</v>
      </c>
      <c r="AH72" s="35">
        <f>COUNTIF(AH6:AH62,#N/A)</f>
        <v>29</v>
      </c>
      <c r="AI72" s="87">
        <f>COUNTIF(AI6:AI62,#N/A)</f>
        <v>0</v>
      </c>
      <c r="AJ72" s="86">
        <f>COUNTIFS(AJ6:AJ62,#N/A)</f>
        <v>29</v>
      </c>
      <c r="AK72" s="35">
        <f t="shared" ref="AK72:AX72" si="5">COUNTIF(AK6:AK62,#N/A)</f>
        <v>29</v>
      </c>
      <c r="AL72" s="87">
        <f t="shared" si="5"/>
        <v>0</v>
      </c>
      <c r="AM72" s="86">
        <f t="shared" si="5"/>
        <v>32</v>
      </c>
      <c r="AN72" s="35">
        <f t="shared" si="5"/>
        <v>32</v>
      </c>
      <c r="AO72" s="87">
        <f t="shared" si="5"/>
        <v>0</v>
      </c>
      <c r="AP72" s="86">
        <f t="shared" si="5"/>
        <v>0</v>
      </c>
      <c r="AQ72" s="35">
        <f t="shared" si="5"/>
        <v>0</v>
      </c>
      <c r="AR72" s="87">
        <f t="shared" si="5"/>
        <v>0</v>
      </c>
      <c r="AS72" s="86">
        <f t="shared" si="5"/>
        <v>0</v>
      </c>
      <c r="AT72" s="35">
        <f t="shared" si="5"/>
        <v>0</v>
      </c>
      <c r="AU72" s="87">
        <f t="shared" si="5"/>
        <v>0</v>
      </c>
      <c r="AV72" s="86">
        <f t="shared" si="5"/>
        <v>0</v>
      </c>
      <c r="AW72" s="35">
        <f t="shared" si="5"/>
        <v>0</v>
      </c>
      <c r="AX72" s="87">
        <f t="shared" si="5"/>
        <v>0</v>
      </c>
    </row>
    <row r="73" spans="3:50" ht="32.25" customHeight="1" x14ac:dyDescent="0.25">
      <c r="C73" s="88" t="s">
        <v>974</v>
      </c>
      <c r="D73" s="71"/>
      <c r="E73" s="2"/>
      <c r="F73" s="71"/>
      <c r="G73" s="24"/>
      <c r="H73" s="71"/>
      <c r="I73" s="24"/>
      <c r="J73" s="71"/>
      <c r="K73" s="24"/>
      <c r="L73" s="71"/>
      <c r="M73" s="24"/>
      <c r="N73" s="71"/>
      <c r="O73" s="24"/>
      <c r="P73" s="71"/>
      <c r="Q73" s="24"/>
      <c r="R73" s="86">
        <v>27</v>
      </c>
      <c r="S73" s="35">
        <v>27</v>
      </c>
      <c r="T73" s="87">
        <v>2</v>
      </c>
      <c r="U73" s="86">
        <v>35</v>
      </c>
      <c r="V73" s="35">
        <v>35</v>
      </c>
      <c r="W73" s="87">
        <v>1</v>
      </c>
      <c r="X73" s="86">
        <v>31</v>
      </c>
      <c r="Y73" s="35">
        <v>31</v>
      </c>
      <c r="Z73" s="87">
        <v>3</v>
      </c>
      <c r="AA73" s="86">
        <f t="shared" ref="AA73:AI73" si="6">SUM(AA66:AA69)</f>
        <v>15</v>
      </c>
      <c r="AB73" s="35">
        <f t="shared" si="6"/>
        <v>16</v>
      </c>
      <c r="AC73" s="87">
        <f t="shared" si="6"/>
        <v>0</v>
      </c>
      <c r="AD73" s="86">
        <f t="shared" si="6"/>
        <v>31</v>
      </c>
      <c r="AE73" s="35">
        <f t="shared" si="6"/>
        <v>31</v>
      </c>
      <c r="AF73" s="87">
        <f t="shared" si="6"/>
        <v>0</v>
      </c>
      <c r="AG73" s="86">
        <f t="shared" si="6"/>
        <v>30</v>
      </c>
      <c r="AH73" s="35">
        <f t="shared" si="6"/>
        <v>31</v>
      </c>
      <c r="AI73" s="87">
        <f t="shared" si="6"/>
        <v>0</v>
      </c>
      <c r="AJ73" s="86">
        <f t="shared" ref="AJ73:AX73" si="7">SUM(AJ66:AJ69)</f>
        <v>26</v>
      </c>
      <c r="AK73" s="35">
        <f t="shared" si="7"/>
        <v>27</v>
      </c>
      <c r="AL73" s="87">
        <f t="shared" si="7"/>
        <v>0</v>
      </c>
      <c r="AM73" s="86">
        <f t="shared" si="7"/>
        <v>23</v>
      </c>
      <c r="AN73" s="35">
        <f t="shared" si="7"/>
        <v>23</v>
      </c>
      <c r="AO73" s="87">
        <f t="shared" si="7"/>
        <v>0</v>
      </c>
      <c r="AP73" s="86">
        <f t="shared" si="7"/>
        <v>0</v>
      </c>
      <c r="AQ73" s="35">
        <f t="shared" si="7"/>
        <v>0</v>
      </c>
      <c r="AR73" s="87">
        <f t="shared" si="7"/>
        <v>0</v>
      </c>
      <c r="AS73" s="86">
        <f t="shared" si="7"/>
        <v>0</v>
      </c>
      <c r="AT73" s="35">
        <f t="shared" si="7"/>
        <v>0</v>
      </c>
      <c r="AU73" s="87">
        <f t="shared" si="7"/>
        <v>0</v>
      </c>
      <c r="AV73" s="86">
        <f t="shared" si="7"/>
        <v>0</v>
      </c>
      <c r="AW73" s="35">
        <f t="shared" si="7"/>
        <v>0</v>
      </c>
      <c r="AX73" s="87">
        <f t="shared" si="7"/>
        <v>0</v>
      </c>
    </row>
    <row r="74" spans="3:50" x14ac:dyDescent="0.25">
      <c r="C74" s="83" t="s">
        <v>975</v>
      </c>
      <c r="D74" s="71"/>
      <c r="E74" s="2"/>
      <c r="F74" s="71"/>
      <c r="G74" s="24"/>
      <c r="H74" s="71"/>
      <c r="I74" s="24"/>
      <c r="J74" s="71"/>
      <c r="K74" s="24"/>
      <c r="L74" s="71"/>
      <c r="M74" s="24"/>
      <c r="N74" s="71"/>
      <c r="O74" s="24"/>
      <c r="P74" s="71"/>
      <c r="Q74" s="24"/>
      <c r="R74" s="89">
        <v>0.89</v>
      </c>
      <c r="S74" s="90">
        <v>0.81</v>
      </c>
      <c r="T74" s="91">
        <v>1</v>
      </c>
      <c r="U74" s="89">
        <v>0.97</v>
      </c>
      <c r="V74" s="90">
        <v>0.89</v>
      </c>
      <c r="W74" s="91">
        <v>1</v>
      </c>
      <c r="X74" s="89">
        <v>0.9</v>
      </c>
      <c r="Y74" s="90">
        <v>0.84</v>
      </c>
      <c r="Z74" s="91">
        <v>1</v>
      </c>
      <c r="AA74" s="116">
        <f t="shared" ref="AA74:AF74" si="8">(SUM(AA68:AA69)/AA73)</f>
        <v>1</v>
      </c>
      <c r="AB74" s="116">
        <f t="shared" si="8"/>
        <v>0.75</v>
      </c>
      <c r="AC74" s="91" t="e">
        <f t="shared" si="8"/>
        <v>#DIV/0!</v>
      </c>
      <c r="AD74" s="116">
        <f t="shared" si="8"/>
        <v>0.967741935483871</v>
      </c>
      <c r="AE74" s="116">
        <f t="shared" si="8"/>
        <v>0.80645161290322576</v>
      </c>
      <c r="AF74" s="91" t="e">
        <f t="shared" si="8"/>
        <v>#DIV/0!</v>
      </c>
      <c r="AG74" s="116">
        <f>(SUM(AG68:AG69)/AG73)</f>
        <v>1</v>
      </c>
      <c r="AH74" s="116">
        <f>(SUM(AH68:AH69)/AH73)</f>
        <v>0.80645161290322576</v>
      </c>
      <c r="AI74" s="91" t="e">
        <f>(SUM(AI68:AI69)/AI73)</f>
        <v>#DIV/0!</v>
      </c>
      <c r="AJ74" s="116">
        <f t="shared" ref="AJ74:AX74" si="9">SUM(AJ68:AJ69)/SUM(AJ66:AJ69)</f>
        <v>0.88461538461538458</v>
      </c>
      <c r="AK74" s="116">
        <f t="shared" si="9"/>
        <v>0.70370370370370372</v>
      </c>
      <c r="AL74" s="91" t="e">
        <f t="shared" si="9"/>
        <v>#DIV/0!</v>
      </c>
      <c r="AM74" s="116">
        <f t="shared" si="9"/>
        <v>1</v>
      </c>
      <c r="AN74" s="116">
        <f t="shared" si="9"/>
        <v>0.69565217391304346</v>
      </c>
      <c r="AO74" s="91" t="e">
        <f t="shared" si="9"/>
        <v>#DIV/0!</v>
      </c>
      <c r="AP74" s="116" t="e">
        <f t="shared" si="9"/>
        <v>#DIV/0!</v>
      </c>
      <c r="AQ74" s="116" t="e">
        <f t="shared" si="9"/>
        <v>#DIV/0!</v>
      </c>
      <c r="AR74" s="91" t="e">
        <f t="shared" si="9"/>
        <v>#DIV/0!</v>
      </c>
      <c r="AS74" s="116" t="e">
        <f t="shared" si="9"/>
        <v>#DIV/0!</v>
      </c>
      <c r="AT74" s="116" t="e">
        <f t="shared" si="9"/>
        <v>#DIV/0!</v>
      </c>
      <c r="AU74" s="91" t="e">
        <f t="shared" si="9"/>
        <v>#DIV/0!</v>
      </c>
      <c r="AV74" s="116" t="e">
        <f t="shared" si="9"/>
        <v>#DIV/0!</v>
      </c>
      <c r="AW74" s="116" t="e">
        <f t="shared" si="9"/>
        <v>#DIV/0!</v>
      </c>
      <c r="AX74" s="91" t="e">
        <f t="shared" si="9"/>
        <v>#DIV/0!</v>
      </c>
    </row>
    <row r="76" spans="3:50" x14ac:dyDescent="0.25">
      <c r="C76" s="92" t="s">
        <v>1208</v>
      </c>
      <c r="D76" s="550" t="s">
        <v>955</v>
      </c>
      <c r="E76" s="550"/>
      <c r="F76" s="550" t="s">
        <v>956</v>
      </c>
      <c r="G76" s="550"/>
      <c r="H76" s="550" t="s">
        <v>956</v>
      </c>
      <c r="I76" s="550"/>
      <c r="J76" s="550" t="s">
        <v>956</v>
      </c>
      <c r="K76" s="550"/>
      <c r="L76" s="550" t="s">
        <v>956</v>
      </c>
      <c r="M76" s="550"/>
      <c r="N76" s="550" t="s">
        <v>956</v>
      </c>
      <c r="O76" s="550"/>
      <c r="P76" s="550" t="s">
        <v>956</v>
      </c>
      <c r="Q76" s="550"/>
      <c r="R76" s="541" t="s">
        <v>961</v>
      </c>
      <c r="S76" s="542"/>
      <c r="T76" s="543"/>
      <c r="U76" s="541" t="s">
        <v>962</v>
      </c>
      <c r="V76" s="542"/>
      <c r="W76" s="543"/>
      <c r="X76" s="541" t="s">
        <v>963</v>
      </c>
      <c r="Y76" s="542"/>
      <c r="Z76" s="543"/>
      <c r="AA76" s="541" t="s">
        <v>964</v>
      </c>
      <c r="AB76" s="542"/>
      <c r="AC76" s="543"/>
      <c r="AD76" s="541" t="s">
        <v>954</v>
      </c>
      <c r="AE76" s="542"/>
      <c r="AF76" s="543"/>
      <c r="AG76" s="541" t="s">
        <v>955</v>
      </c>
      <c r="AH76" s="542"/>
      <c r="AI76" s="543"/>
      <c r="AJ76" s="541" t="s">
        <v>956</v>
      </c>
      <c r="AK76" s="542"/>
      <c r="AL76" s="543"/>
      <c r="AM76" s="541" t="s">
        <v>957</v>
      </c>
      <c r="AN76" s="542"/>
      <c r="AO76" s="543"/>
      <c r="AP76" s="541" t="s">
        <v>958</v>
      </c>
      <c r="AQ76" s="542"/>
      <c r="AR76" s="543"/>
      <c r="AS76" s="541" t="s">
        <v>959</v>
      </c>
      <c r="AT76" s="542"/>
      <c r="AU76" s="543"/>
      <c r="AV76" s="541" t="s">
        <v>960</v>
      </c>
      <c r="AW76" s="542"/>
      <c r="AX76" s="543"/>
    </row>
    <row r="77" spans="3:50" x14ac:dyDescent="0.25">
      <c r="C77" s="93"/>
      <c r="D77" s="94" t="s">
        <v>965</v>
      </c>
      <c r="E77" s="43" t="s">
        <v>966</v>
      </c>
      <c r="F77" s="94" t="s">
        <v>965</v>
      </c>
      <c r="G77" s="43" t="s">
        <v>966</v>
      </c>
      <c r="H77" s="94" t="s">
        <v>965</v>
      </c>
      <c r="I77" s="43" t="s">
        <v>966</v>
      </c>
      <c r="J77" s="94" t="s">
        <v>965</v>
      </c>
      <c r="K77" s="43" t="s">
        <v>966</v>
      </c>
      <c r="L77" s="94" t="s">
        <v>965</v>
      </c>
      <c r="M77" s="43" t="s">
        <v>966</v>
      </c>
      <c r="N77" s="94" t="s">
        <v>965</v>
      </c>
      <c r="O77" s="43" t="s">
        <v>966</v>
      </c>
      <c r="P77" s="94" t="s">
        <v>965</v>
      </c>
      <c r="Q77" s="43" t="s">
        <v>966</v>
      </c>
      <c r="R77" s="80" t="s">
        <v>965</v>
      </c>
      <c r="S77" s="81" t="s">
        <v>966</v>
      </c>
      <c r="T77" s="82" t="s">
        <v>1205</v>
      </c>
      <c r="U77" s="80" t="s">
        <v>965</v>
      </c>
      <c r="V77" s="81" t="s">
        <v>966</v>
      </c>
      <c r="W77" s="82" t="s">
        <v>1205</v>
      </c>
      <c r="X77" s="80" t="s">
        <v>965</v>
      </c>
      <c r="Y77" s="81" t="s">
        <v>966</v>
      </c>
      <c r="Z77" s="82" t="s">
        <v>1205</v>
      </c>
      <c r="AA77" s="80" t="s">
        <v>965</v>
      </c>
      <c r="AB77" s="81" t="s">
        <v>966</v>
      </c>
      <c r="AC77" s="82" t="s">
        <v>1205</v>
      </c>
      <c r="AD77" s="80" t="s">
        <v>965</v>
      </c>
      <c r="AE77" s="81" t="s">
        <v>966</v>
      </c>
      <c r="AF77" s="82" t="s">
        <v>1205</v>
      </c>
      <c r="AG77" s="80" t="s">
        <v>965</v>
      </c>
      <c r="AH77" s="81" t="s">
        <v>966</v>
      </c>
      <c r="AI77" s="82" t="s">
        <v>1205</v>
      </c>
      <c r="AJ77" s="80" t="s">
        <v>965</v>
      </c>
      <c r="AK77" s="81" t="s">
        <v>966</v>
      </c>
      <c r="AL77" s="82" t="s">
        <v>1205</v>
      </c>
      <c r="AM77" s="80" t="s">
        <v>965</v>
      </c>
      <c r="AN77" s="81" t="s">
        <v>966</v>
      </c>
      <c r="AO77" s="82" t="s">
        <v>1205</v>
      </c>
      <c r="AP77" s="80" t="s">
        <v>965</v>
      </c>
      <c r="AQ77" s="81" t="s">
        <v>966</v>
      </c>
      <c r="AR77" s="82" t="s">
        <v>1205</v>
      </c>
      <c r="AS77" s="80" t="s">
        <v>965</v>
      </c>
      <c r="AT77" s="81" t="s">
        <v>966</v>
      </c>
      <c r="AU77" s="82" t="s">
        <v>1205</v>
      </c>
      <c r="AV77" s="80" t="s">
        <v>965</v>
      </c>
      <c r="AW77" s="81" t="s">
        <v>966</v>
      </c>
      <c r="AX77" s="82" t="s">
        <v>1205</v>
      </c>
    </row>
    <row r="78" spans="3:50" x14ac:dyDescent="0.25">
      <c r="C78" s="95" t="s">
        <v>967</v>
      </c>
      <c r="D78" s="84"/>
      <c r="E78" s="85"/>
      <c r="F78" s="8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6"/>
      <c r="S78" s="35"/>
      <c r="T78" s="87"/>
      <c r="U78" s="86"/>
      <c r="V78" s="35"/>
      <c r="W78" s="87"/>
      <c r="X78" s="86"/>
      <c r="Y78" s="35"/>
      <c r="Z78" s="87"/>
      <c r="AA78" s="86">
        <f>COUNTIFS($AA$6:$AA$62,1,$C$6:$C$62,"Just Ask")</f>
        <v>0</v>
      </c>
      <c r="AB78" s="35">
        <f>COUNTIFS($AB$6:$AB$62,1,$C$6:$C$62,"Just Ask")</f>
        <v>0</v>
      </c>
      <c r="AC78" s="87">
        <f>COUNTIFS($AC$6:$AC$62,1,$C$6:$C$62,"Just Ask")</f>
        <v>0</v>
      </c>
      <c r="AD78" s="86">
        <f>COUNTIFS($AD$6:$AD$62,1,$C$6:$C$62,"Just Ask")</f>
        <v>0</v>
      </c>
      <c r="AE78" s="35">
        <f>COUNTIFS($AE$6:$AE$62,1,$C$6:$C$62,"Just Ask")</f>
        <v>2</v>
      </c>
      <c r="AF78" s="87">
        <f>COUNTIFS($AF$6:$AF$62,1,$C$6:$C$62,"Just Ask")</f>
        <v>0</v>
      </c>
      <c r="AG78" s="86">
        <f>COUNTIFS($AD$6:$AD$62,1,$C$6:$C$62,"Just Ask")</f>
        <v>0</v>
      </c>
      <c r="AH78" s="35">
        <f>COUNTIFS($AE$6:$AE$62,1,$C$6:$C$62,"Just Ask")</f>
        <v>2</v>
      </c>
      <c r="AI78" s="87">
        <f>COUNTIFS($AF$6:$AF$62,1,$C$6:$C$62,"Just Ask")</f>
        <v>0</v>
      </c>
      <c r="AJ78" s="86">
        <f>COUNTIFS(AJ6:AJ62,1,C6:C62,"Just Ask")</f>
        <v>0</v>
      </c>
      <c r="AK78" s="35">
        <f>COUNTIFS(AK6:AK62,1,C6:C62,"Just Ask")</f>
        <v>2</v>
      </c>
      <c r="AL78" s="87">
        <f>COUNTIFS(AL6:AL62,1,C6:C62,"Just Ask")</f>
        <v>0</v>
      </c>
      <c r="AM78" s="86">
        <f>COUNTIFS(AM6:AM62,1,C6:C62,"Just Ask")</f>
        <v>0</v>
      </c>
      <c r="AN78" s="35">
        <f>COUNTIFS(AN6:AN62,1,C6:C62,"Just Ask")</f>
        <v>0</v>
      </c>
      <c r="AO78" s="87">
        <f>COUNTIFS(AO6:AO62,1,C6:C62,"Just Ask")</f>
        <v>0</v>
      </c>
      <c r="AP78" s="86">
        <f>COUNTIFS(AP6:AP62,1,C6:C62,"Just Ask")</f>
        <v>0</v>
      </c>
      <c r="AQ78" s="35">
        <f>COUNTIFS(AQ6:AQ62,1,C6:C62,"Just Ask")</f>
        <v>0</v>
      </c>
      <c r="AR78" s="87">
        <f>COUNTIFS(AR6:AR62,1,C6:C62,"Just Ask")</f>
        <v>0</v>
      </c>
      <c r="AS78" s="86">
        <f>COUNTIFS(AS6:AS62,1,C6:C62,"Just Ask")</f>
        <v>0</v>
      </c>
      <c r="AT78" s="35">
        <f>COUNTIFS(AT6:AT62,1,C6:C62,"Just Ask")</f>
        <v>0</v>
      </c>
      <c r="AU78" s="87">
        <f>COUNTIFS(AU6:AU62,1,C6:C62,"Just Ask")</f>
        <v>0</v>
      </c>
      <c r="AV78" s="86">
        <f>COUNTIFS(AV6:AV62,1,C6:C62,"Just Ask")</f>
        <v>0</v>
      </c>
      <c r="AW78" s="35">
        <f>COUNTIFS(AW6:AW62,1,C6:C62,"Just Ask")</f>
        <v>0</v>
      </c>
      <c r="AX78" s="87">
        <f>COUNTIFS(AX6:AX62,1,C6:C62,"Just Ask")</f>
        <v>0</v>
      </c>
    </row>
    <row r="79" spans="3:50" x14ac:dyDescent="0.25">
      <c r="C79" s="96" t="s">
        <v>968</v>
      </c>
      <c r="D79" s="71"/>
      <c r="E79" s="2"/>
      <c r="F79" s="71"/>
      <c r="G79" s="97"/>
      <c r="H79" s="71"/>
      <c r="I79" s="97"/>
      <c r="J79" s="71"/>
      <c r="K79" s="97"/>
      <c r="L79" s="71"/>
      <c r="M79" s="97"/>
      <c r="N79" s="71"/>
      <c r="O79" s="97"/>
      <c r="P79" s="71"/>
      <c r="Q79" s="97"/>
      <c r="R79" s="86"/>
      <c r="S79" s="35"/>
      <c r="T79" s="87"/>
      <c r="U79" s="86"/>
      <c r="V79" s="35"/>
      <c r="W79" s="87"/>
      <c r="X79" s="86"/>
      <c r="Y79" s="35"/>
      <c r="Z79" s="87"/>
      <c r="AA79" s="86">
        <f>COUNTIFS($AA$6:$AA$62,2,$C$6:$C$62,"Just Ask")</f>
        <v>0</v>
      </c>
      <c r="AB79" s="35">
        <f>COUNTIFS($AB$6:$AB$62,2,$C$6:$C$62,"Just Ask")</f>
        <v>2</v>
      </c>
      <c r="AC79" s="87">
        <f>COUNTIFS($AC$6:$AC$62,2,$C$6:$C$62,"Just Ask")</f>
        <v>0</v>
      </c>
      <c r="AD79" s="86">
        <f>COUNTIFS($AD$6:$AD$62,2,$C$6:$C$62,"Just Ask")</f>
        <v>0</v>
      </c>
      <c r="AE79" s="35">
        <f>COUNTIFS($AE$6:$AE$62,2,$C$6:$C$62,"Just Ask")</f>
        <v>1</v>
      </c>
      <c r="AF79" s="87">
        <f>COUNTIFS($AF$6:$AF$62,2,$C$6:$C$62,"Just Ask")</f>
        <v>0</v>
      </c>
      <c r="AG79" s="86">
        <f>COUNTIFS($AD$6:$AD$62,2,$C$6:$C$62,"Just Ask")</f>
        <v>0</v>
      </c>
      <c r="AH79" s="35">
        <f>COUNTIFS($AE$6:$AE$62,2,$C$6:$C$62,"Just Ask")</f>
        <v>1</v>
      </c>
      <c r="AI79" s="87">
        <f>COUNTIFS($AF$6:$AF$62,2,$C$6:$C$62,"Just Ask")</f>
        <v>0</v>
      </c>
      <c r="AJ79" s="86">
        <f>COUNTIFS(AJ7:AJ63,2,C7:C63,"Just Ask")</f>
        <v>0</v>
      </c>
      <c r="AK79" s="35">
        <f>COUNTIFS(AK7:AK63,2,C7:C63,"Just Ask")</f>
        <v>0</v>
      </c>
      <c r="AL79" s="87">
        <f>COUNTIFS(AL7:AL63,2,C7:C63,"Just Ask")</f>
        <v>0</v>
      </c>
      <c r="AM79" s="86">
        <f>COUNTIFS(AM7:AM63,2,C7:C63,"Just Ask")</f>
        <v>0</v>
      </c>
      <c r="AN79" s="35">
        <f>COUNTIFS(AN7:AN63,2,C7:C63,"Just Ask")</f>
        <v>2</v>
      </c>
      <c r="AO79" s="87">
        <f>COUNTIFS(AO7:AO63,2,C7:C63,"Just Ask")</f>
        <v>0</v>
      </c>
      <c r="AP79" s="86">
        <f>COUNTIFS(AP7:AP63,2,C7:C63,"Just Ask")</f>
        <v>0</v>
      </c>
      <c r="AQ79" s="35">
        <f>COUNTIFS(AQ7:AQ63,2,C7:C63,"Just Ask")</f>
        <v>0</v>
      </c>
      <c r="AR79" s="87">
        <f>COUNTIFS(AR7:AR63,2,C7:C63,"Just Ask")</f>
        <v>0</v>
      </c>
      <c r="AS79" s="86">
        <f>COUNTIFS(AS7:AS63,2,C7:C63,"Just Ask")</f>
        <v>0</v>
      </c>
      <c r="AT79" s="35">
        <f>COUNTIFS(AT7:AT63,2,C7:C63,"Just Ask")</f>
        <v>0</v>
      </c>
      <c r="AU79" s="87">
        <f>COUNTIFS(AU7:AU63,2,C7:C63,"Just Ask")</f>
        <v>0</v>
      </c>
      <c r="AV79" s="86">
        <f>COUNTIFS(AV7:AV63,2,C7:C63,"Just Ask")</f>
        <v>0</v>
      </c>
      <c r="AW79" s="35">
        <f>COUNTIFS(AW7:AW63,2,C7:C63,"Just Ask")</f>
        <v>0</v>
      </c>
      <c r="AX79" s="87">
        <f>COUNTIFS(AX7:AX63,2,C7:C63,"Just Ask")</f>
        <v>0</v>
      </c>
    </row>
    <row r="80" spans="3:50" x14ac:dyDescent="0.25">
      <c r="C80" s="96" t="s">
        <v>969</v>
      </c>
      <c r="D80" s="71"/>
      <c r="E80" s="2"/>
      <c r="F80" s="71"/>
      <c r="G80" s="97"/>
      <c r="H80" s="71"/>
      <c r="I80" s="97"/>
      <c r="J80" s="71"/>
      <c r="K80" s="97"/>
      <c r="L80" s="71"/>
      <c r="M80" s="97"/>
      <c r="N80" s="71"/>
      <c r="O80" s="97"/>
      <c r="P80" s="71"/>
      <c r="Q80" s="97"/>
      <c r="R80" s="86"/>
      <c r="S80" s="35"/>
      <c r="T80" s="87"/>
      <c r="U80" s="86"/>
      <c r="V80" s="35"/>
      <c r="W80" s="87"/>
      <c r="X80" s="86"/>
      <c r="Y80" s="35"/>
      <c r="Z80" s="87"/>
      <c r="AA80" s="86">
        <f>COUNTIFS($AA$6:$AA$62,3,$C$6:$C$62,"Just Ask")</f>
        <v>2</v>
      </c>
      <c r="AB80" s="35">
        <f>COUNTIFS($AB$6:$AB$62,3,$C$6:$C$62,"Just Ask")</f>
        <v>3</v>
      </c>
      <c r="AC80" s="87">
        <f>COUNTIFS($AC$6:$AC$62,3,$C$6:$C$62,"Just Ask")</f>
        <v>0</v>
      </c>
      <c r="AD80" s="86">
        <f>COUNTIFS($AD$6:$AD$62,3,$C$6:$C$62,"Just Ask")</f>
        <v>13</v>
      </c>
      <c r="AE80" s="35">
        <f>COUNTIFS($AE$6:$AE$62,3,$C$6:$C$62,"Just Ask")</f>
        <v>12</v>
      </c>
      <c r="AF80" s="87">
        <f>COUNTIFS($AF$6:$AF$62,3,$C$6:$C$62,"Just Ask")</f>
        <v>0</v>
      </c>
      <c r="AG80" s="86">
        <f>COUNTIFS($AD$6:$AD$62,3,$C$6:$C$62,"Just Ask")</f>
        <v>13</v>
      </c>
      <c r="AH80" s="35">
        <f>COUNTIFS($AE$6:$AE$62,3,$C$6:$C$62,"Just Ask")</f>
        <v>12</v>
      </c>
      <c r="AI80" s="87">
        <f>COUNTIFS($AF$6:$AF$62,3,$C$6:$C$62,"Just Ask")</f>
        <v>0</v>
      </c>
      <c r="AJ80" s="86">
        <f>COUNTIFS(AJ8:AJ64,3,C8:C64,"Just Ask")</f>
        <v>8</v>
      </c>
      <c r="AK80" s="35">
        <f>COUNTIFS(AK8:AK64,3,C8:C64,"Just Ask")</f>
        <v>7</v>
      </c>
      <c r="AL80" s="87">
        <f>COUNTIFS(AL8:AL64,3,C8:C64,"Just Ask")</f>
        <v>0</v>
      </c>
      <c r="AM80" s="86">
        <f>COUNTIFS(AM8:AM64,3,C8:C64,"Just Ask")</f>
        <v>7</v>
      </c>
      <c r="AN80" s="35">
        <f>COUNTIFS(AN8:AN64,3,C8:C64,"Just Ask")</f>
        <v>7</v>
      </c>
      <c r="AO80" s="87">
        <f>COUNTIFS(AO8:AO64,3,C8:C64,"Just Ask")</f>
        <v>0</v>
      </c>
      <c r="AP80" s="86">
        <f>COUNTIFS(AP8:AP64,3,C8:C64,"Just Ask")</f>
        <v>0</v>
      </c>
      <c r="AQ80" s="35">
        <f>COUNTIFS(AQ8:AQ64,3,C8:C64,"Just Ask")</f>
        <v>0</v>
      </c>
      <c r="AR80" s="87">
        <f>COUNTIFS(AR8:AR64,3,C8:C64,"Just Ask")</f>
        <v>0</v>
      </c>
      <c r="AS80" s="86">
        <f>COUNTIFS(AS8:AS64,3,C8:C64,"Just Ask")</f>
        <v>0</v>
      </c>
      <c r="AT80" s="35">
        <f>COUNTIFS(AT8:AT64,3,C8:C64,"Just Ask")</f>
        <v>0</v>
      </c>
      <c r="AU80" s="87">
        <f>COUNTIFS(AU8:AU64,3,C8:C64,"Just Ask")</f>
        <v>0</v>
      </c>
      <c r="AV80" s="86">
        <f>COUNTIFS(AV8:AV64,3,C8:C64,"Just Ask")</f>
        <v>0</v>
      </c>
      <c r="AW80" s="35">
        <f>COUNTIFS(AW8:AW64,3,C8:C64,"Just Ask")</f>
        <v>0</v>
      </c>
      <c r="AX80" s="87">
        <f>COUNTIFS(AX8:AX64,3,C8:C64,"Just Ask")</f>
        <v>0</v>
      </c>
    </row>
    <row r="81" spans="3:50" x14ac:dyDescent="0.25">
      <c r="C81" s="96" t="s">
        <v>970</v>
      </c>
      <c r="D81" s="71"/>
      <c r="E81" s="2"/>
      <c r="F81" s="71"/>
      <c r="G81" s="97"/>
      <c r="H81" s="71"/>
      <c r="I81" s="97"/>
      <c r="J81" s="71"/>
      <c r="K81" s="97"/>
      <c r="L81" s="71"/>
      <c r="M81" s="97"/>
      <c r="N81" s="71"/>
      <c r="O81" s="97"/>
      <c r="P81" s="71"/>
      <c r="Q81" s="97"/>
      <c r="R81" s="86"/>
      <c r="S81" s="35"/>
      <c r="T81" s="87"/>
      <c r="U81" s="86"/>
      <c r="V81" s="35"/>
      <c r="W81" s="87"/>
      <c r="X81" s="86"/>
      <c r="Y81" s="35"/>
      <c r="Z81" s="87"/>
      <c r="AA81" s="86">
        <f>COUNTIFS($AA$6:$AA$62,4,$C$6:$C$62,"Just Ask")</f>
        <v>4</v>
      </c>
      <c r="AB81" s="35">
        <f>COUNTIFS($AB$6:$AB$62,4,$C$6:$C$62,"Just Ask")</f>
        <v>2</v>
      </c>
      <c r="AC81" s="87">
        <f>COUNTIFS($AC$6:$AC$62,4,$C$6:$C$62,"Just Ask")</f>
        <v>0</v>
      </c>
      <c r="AD81" s="86">
        <f>COUNTIFS($AD$6:$AD$62,4,$C$6:$C$62,"Just Ask")</f>
        <v>5</v>
      </c>
      <c r="AE81" s="35">
        <f>COUNTIFS($AE$6:$AE$62,4,$C$6:$C$62,"Just Ask")</f>
        <v>3</v>
      </c>
      <c r="AF81" s="87">
        <f>COUNTIFS($AF$6:$AF$62,4,$C$6:$C$62,"Just Ask")</f>
        <v>0</v>
      </c>
      <c r="AG81" s="86">
        <f>COUNTIFS($AD$6:$AD$62,4,$C$6:$C$62,"Just Ask")</f>
        <v>5</v>
      </c>
      <c r="AH81" s="35">
        <f>COUNTIFS($AE$6:$AE$62,4,$C$6:$C$62,"Just Ask")</f>
        <v>3</v>
      </c>
      <c r="AI81" s="87">
        <f>COUNTIFS($AF$6:$AF$62,4,$C$6:$C$62,"Just Ask")</f>
        <v>0</v>
      </c>
      <c r="AJ81" s="86">
        <f>COUNTIFS(AJ9:AJ65,4,C9:C65,"Just Ask")</f>
        <v>4</v>
      </c>
      <c r="AK81" s="35">
        <f>COUNTIFS(AK9:AK65,4,C9:C65,"Just Ask")</f>
        <v>4</v>
      </c>
      <c r="AL81" s="87">
        <f>COUNTIFS(AL9:AL65,4,C9:C65,"Just Ask")</f>
        <v>0</v>
      </c>
      <c r="AM81" s="86">
        <f>COUNTIFS(AM9:AM65,4,C9:C65,"Just Ask")</f>
        <v>5</v>
      </c>
      <c r="AN81" s="35">
        <f>COUNTIFS(AN9:AN65,4,C9:C65,"Just Ask")</f>
        <v>3</v>
      </c>
      <c r="AO81" s="87">
        <f>COUNTIFS(AO9:AO65,4,C9:C65,"Just Ask")</f>
        <v>0</v>
      </c>
      <c r="AP81" s="86">
        <f>COUNTIFS(AP9:AP65,4,C9:C65,"Just Ask")</f>
        <v>0</v>
      </c>
      <c r="AQ81" s="35">
        <f>COUNTIFS(AQ9:AQ65,4,C9:C65,"Just Ask")</f>
        <v>0</v>
      </c>
      <c r="AR81" s="87">
        <f>COUNTIFS(AR9:AR65,4,C9:C65,"Just Ask")</f>
        <v>0</v>
      </c>
      <c r="AS81" s="86">
        <f>COUNTIFS(AS9:AS65,4,C9:C65,"Just Ask")</f>
        <v>0</v>
      </c>
      <c r="AT81" s="35">
        <f>COUNTIFS(AT9:AT65,4,C9:C65,"Just Ask")</f>
        <v>0</v>
      </c>
      <c r="AU81" s="87">
        <f>COUNTIFS(AU9:AU65,4,C9:C65,"Just Ask")</f>
        <v>0</v>
      </c>
      <c r="AV81" s="86">
        <f>COUNTIFS(AV9:AV65,4,C9:C65,"Just Ask")</f>
        <v>0</v>
      </c>
      <c r="AW81" s="35">
        <f>COUNTIFS(AW9:AW65,4,C9:C65,"Just Ask")</f>
        <v>0</v>
      </c>
      <c r="AX81" s="87">
        <f>COUNTIFS(AX9:AX65,4,C9:C65,"Just Ask")</f>
        <v>0</v>
      </c>
    </row>
    <row r="82" spans="3:50" x14ac:dyDescent="0.25">
      <c r="C82" s="96" t="s">
        <v>971</v>
      </c>
      <c r="D82" s="71"/>
      <c r="E82" s="2"/>
      <c r="F82" s="71"/>
      <c r="G82" s="97"/>
      <c r="H82" s="71"/>
      <c r="I82" s="97"/>
      <c r="J82" s="71"/>
      <c r="K82" s="97"/>
      <c r="L82" s="71"/>
      <c r="M82" s="97"/>
      <c r="N82" s="71"/>
      <c r="O82" s="97"/>
      <c r="P82" s="71"/>
      <c r="Q82" s="97"/>
      <c r="R82" s="86">
        <v>30</v>
      </c>
      <c r="S82" s="86">
        <v>30</v>
      </c>
      <c r="T82" s="86">
        <v>30</v>
      </c>
      <c r="U82" s="86">
        <v>30</v>
      </c>
      <c r="V82" s="86">
        <v>30</v>
      </c>
      <c r="W82" s="86">
        <v>30</v>
      </c>
      <c r="X82" s="86">
        <v>30</v>
      </c>
      <c r="Y82" s="86">
        <v>30</v>
      </c>
      <c r="Z82" s="86">
        <v>30</v>
      </c>
      <c r="AA82" s="86">
        <v>30</v>
      </c>
      <c r="AB82" s="86">
        <v>30</v>
      </c>
      <c r="AC82" s="86">
        <v>30</v>
      </c>
      <c r="AD82" s="86">
        <v>30</v>
      </c>
      <c r="AE82" s="86">
        <v>30</v>
      </c>
      <c r="AF82" s="86">
        <v>30</v>
      </c>
      <c r="AG82" s="86">
        <v>30</v>
      </c>
      <c r="AH82" s="86">
        <v>30</v>
      </c>
      <c r="AI82" s="86">
        <v>30</v>
      </c>
      <c r="AJ82" s="86">
        <v>30</v>
      </c>
      <c r="AK82" s="86">
        <v>30</v>
      </c>
      <c r="AL82" s="86">
        <v>30</v>
      </c>
      <c r="AM82" s="86">
        <v>30</v>
      </c>
      <c r="AN82" s="86">
        <v>30</v>
      </c>
      <c r="AO82" s="86">
        <v>30</v>
      </c>
      <c r="AP82" s="86">
        <v>30</v>
      </c>
      <c r="AQ82" s="86">
        <v>30</v>
      </c>
      <c r="AR82" s="86">
        <v>30</v>
      </c>
      <c r="AS82" s="86">
        <v>30</v>
      </c>
      <c r="AT82" s="86">
        <v>30</v>
      </c>
      <c r="AU82" s="86">
        <v>30</v>
      </c>
      <c r="AV82" s="86">
        <v>30</v>
      </c>
      <c r="AW82" s="86">
        <v>30</v>
      </c>
      <c r="AX82" s="86">
        <v>30</v>
      </c>
    </row>
    <row r="83" spans="3:50" x14ac:dyDescent="0.25">
      <c r="C83" s="95" t="s">
        <v>1276</v>
      </c>
      <c r="D83" s="71"/>
      <c r="E83" s="2"/>
      <c r="F83" s="71"/>
      <c r="G83" s="97"/>
      <c r="H83" s="71"/>
      <c r="I83" s="97"/>
      <c r="J83" s="71"/>
      <c r="K83" s="97"/>
      <c r="L83" s="71"/>
      <c r="M83" s="97"/>
      <c r="N83" s="71"/>
      <c r="O83" s="97"/>
      <c r="P83" s="71"/>
      <c r="Q83" s="97"/>
      <c r="R83" s="86"/>
      <c r="S83" s="35"/>
      <c r="T83" s="87"/>
      <c r="U83" s="86"/>
      <c r="V83" s="35"/>
      <c r="W83" s="87"/>
      <c r="X83" s="86"/>
      <c r="Y83" s="35"/>
      <c r="Z83" s="87"/>
      <c r="AA83" s="86"/>
      <c r="AB83" s="35"/>
      <c r="AC83" s="87"/>
      <c r="AD83" s="86"/>
      <c r="AE83" s="35"/>
      <c r="AF83" s="87"/>
      <c r="AG83" s="86"/>
      <c r="AH83" s="35"/>
      <c r="AI83" s="87"/>
      <c r="AJ83" s="86"/>
      <c r="AK83" s="35"/>
      <c r="AL83" s="87"/>
      <c r="AM83" s="86"/>
      <c r="AN83" s="35"/>
      <c r="AO83" s="87"/>
      <c r="AP83" s="86"/>
      <c r="AQ83" s="35"/>
      <c r="AR83" s="87"/>
      <c r="AS83" s="86"/>
      <c r="AT83" s="35"/>
      <c r="AU83" s="87"/>
      <c r="AV83" s="86"/>
      <c r="AW83" s="35"/>
      <c r="AX83" s="87"/>
    </row>
    <row r="84" spans="3:50" x14ac:dyDescent="0.25">
      <c r="C84" s="95" t="s">
        <v>973</v>
      </c>
      <c r="D84" s="71"/>
      <c r="E84" s="2"/>
      <c r="F84" s="71"/>
      <c r="G84" s="98"/>
      <c r="H84" s="71"/>
      <c r="I84" s="98"/>
      <c r="J84" s="71"/>
      <c r="K84" s="98"/>
      <c r="L84" s="71"/>
      <c r="M84" s="98"/>
      <c r="N84" s="71"/>
      <c r="O84" s="98"/>
      <c r="P84" s="71"/>
      <c r="Q84" s="98"/>
      <c r="R84" s="86"/>
      <c r="S84" s="35"/>
      <c r="T84" s="87"/>
      <c r="U84" s="86"/>
      <c r="V84" s="35"/>
      <c r="W84" s="87"/>
      <c r="X84" s="86"/>
      <c r="Y84" s="35"/>
      <c r="Z84" s="87"/>
      <c r="AA84" s="86">
        <f>COUNTIFS($AA$6:$AA$62,#N/A,$C$6:$C$62,"Just Ask")</f>
        <v>24</v>
      </c>
      <c r="AB84" s="35">
        <f>COUNTIFS($AB$6:$AB$62,#N/A,$C$6:$C$62,"Just Ask")</f>
        <v>23</v>
      </c>
      <c r="AC84" s="87">
        <f>COUNTIFS($AC$6:$AC$62,#N/A,$C$6:$C$62,"Just Ask")</f>
        <v>0</v>
      </c>
      <c r="AD84" s="86">
        <f>COUNTIFS($AE$6:$AE$62,#N/A,$C$6:$C$62,"Just Ask")</f>
        <v>12</v>
      </c>
      <c r="AE84" s="35">
        <f>COUNTIFS($AE$6:$AE$62,#N/A,$C$6:$C$62,"Just Ask")</f>
        <v>12</v>
      </c>
      <c r="AF84" s="87">
        <f>COUNTIFS($AF$6:$AF$62,#N/A,$C$6:$C$62,"Just Ask")</f>
        <v>0</v>
      </c>
      <c r="AG84" s="86">
        <f>COUNTIFS($AG$6:$AG$62,#N/A,$C$6:$C$62,"Just ASK")</f>
        <v>16</v>
      </c>
      <c r="AH84" s="35">
        <f>COUNTIFS($AH$6:$AH$62,#N/A,$C$6:$C$62,"Just Ask")</f>
        <v>16</v>
      </c>
      <c r="AI84" s="87">
        <f>COUNTIFS($AI$6:$AI$62,#N/A,$C$6:$C$62,"Just Ask")</f>
        <v>0</v>
      </c>
      <c r="AJ84" s="86">
        <f>COUNTIFS(AJ6:AJ62,#N/A,C6:C62,"Just Ask")</f>
        <v>17</v>
      </c>
      <c r="AK84" s="35">
        <f>COUNTIFS(AK6:AK62,#N/A,C6:C62,"Just Ask")</f>
        <v>17</v>
      </c>
      <c r="AL84" s="87">
        <f>COUNTIFS(AL6:AL62,#N/A,C6:C62,"Just Ask")</f>
        <v>0</v>
      </c>
      <c r="AM84" s="86">
        <f>COUNTIFS(AM6:AM62,#N/A,C6:C62,"Just Ask")</f>
        <v>16</v>
      </c>
      <c r="AN84" s="35">
        <f>COUNTIFS(AN6:AN62,#N/A,C6:C62,"Just Ask")</f>
        <v>16</v>
      </c>
      <c r="AO84" s="87">
        <f>COUNTIFS(AO6:AO62,#N/A,C6:C62,"Just Ask")</f>
        <v>0</v>
      </c>
      <c r="AP84" s="86">
        <f>COUNTIFS(AP6:AP62,#N/A,C6:C62,"Just Ask")</f>
        <v>0</v>
      </c>
      <c r="AQ84" s="35">
        <f>COUNTIFS(AQ6:AQ62,#N/A,C6:C62,"Just Ask")</f>
        <v>0</v>
      </c>
      <c r="AR84" s="87">
        <f>COUNTIFS(AR6:AR62,#N/A,C6:C62,"Just Ask")</f>
        <v>0</v>
      </c>
      <c r="AS84" s="86">
        <f>COUNTIFS(AS6:AS62,#N/A,C6:C62,"Just Ask")</f>
        <v>0</v>
      </c>
      <c r="AT84" s="35">
        <f>COUNTIFS(AT6:AT62,#N/A,C6:C62,"Just Ask")</f>
        <v>0</v>
      </c>
      <c r="AU84" s="87">
        <f>COUNTIFS(AU6:AU62,#N/A,C6:C62,"Just Ask")</f>
        <v>0</v>
      </c>
      <c r="AV84" s="86">
        <f>COUNTIFS(AV6:AV62,#N/A,C6:C62,"Just Ask")</f>
        <v>0</v>
      </c>
      <c r="AW84" s="35">
        <f>COUNTIFS(AW6:AW62,#N/A,C6:C62,"Just Ask")</f>
        <v>0</v>
      </c>
      <c r="AX84" s="87">
        <f>COUNTIFS(AX6:AX62,#N/A,C6:C62,"Just Ask")</f>
        <v>0</v>
      </c>
    </row>
    <row r="85" spans="3:50" ht="23.25" x14ac:dyDescent="0.25">
      <c r="C85" s="99" t="s">
        <v>974</v>
      </c>
      <c r="D85" s="71"/>
      <c r="E85" s="2"/>
      <c r="F85" s="71"/>
      <c r="G85" s="97"/>
      <c r="H85" s="71"/>
      <c r="I85" s="97"/>
      <c r="J85" s="71"/>
      <c r="K85" s="97"/>
      <c r="L85" s="71"/>
      <c r="M85" s="97"/>
      <c r="N85" s="71"/>
      <c r="O85" s="97"/>
      <c r="P85" s="71"/>
      <c r="Q85" s="97"/>
      <c r="R85" s="86"/>
      <c r="S85" s="35"/>
      <c r="T85" s="87"/>
      <c r="U85" s="86"/>
      <c r="V85" s="35"/>
      <c r="W85" s="87"/>
      <c r="X85" s="86"/>
      <c r="Y85" s="35"/>
      <c r="Z85" s="87"/>
      <c r="AA85" s="86">
        <f t="shared" ref="AA85:AI85" si="10">SUM(AA78:AA81)</f>
        <v>6</v>
      </c>
      <c r="AB85" s="35">
        <f t="shared" si="10"/>
        <v>7</v>
      </c>
      <c r="AC85" s="87">
        <f t="shared" si="10"/>
        <v>0</v>
      </c>
      <c r="AD85" s="86">
        <f t="shared" si="10"/>
        <v>18</v>
      </c>
      <c r="AE85" s="35">
        <f t="shared" si="10"/>
        <v>18</v>
      </c>
      <c r="AF85" s="87">
        <f t="shared" si="10"/>
        <v>0</v>
      </c>
      <c r="AG85" s="86">
        <f t="shared" si="10"/>
        <v>18</v>
      </c>
      <c r="AH85" s="35">
        <f t="shared" si="10"/>
        <v>18</v>
      </c>
      <c r="AI85" s="87">
        <f t="shared" si="10"/>
        <v>0</v>
      </c>
      <c r="AJ85" s="86">
        <f t="shared" ref="AJ85:AX85" si="11">SUM(AJ78:AJ81)</f>
        <v>12</v>
      </c>
      <c r="AK85" s="35">
        <f t="shared" si="11"/>
        <v>13</v>
      </c>
      <c r="AL85" s="87">
        <f t="shared" si="11"/>
        <v>0</v>
      </c>
      <c r="AM85" s="86">
        <f t="shared" si="11"/>
        <v>12</v>
      </c>
      <c r="AN85" s="35">
        <f t="shared" si="11"/>
        <v>12</v>
      </c>
      <c r="AO85" s="87">
        <f t="shared" si="11"/>
        <v>0</v>
      </c>
      <c r="AP85" s="86">
        <f t="shared" si="11"/>
        <v>0</v>
      </c>
      <c r="AQ85" s="35">
        <f t="shared" si="11"/>
        <v>0</v>
      </c>
      <c r="AR85" s="87">
        <f t="shared" si="11"/>
        <v>0</v>
      </c>
      <c r="AS85" s="86">
        <f t="shared" si="11"/>
        <v>0</v>
      </c>
      <c r="AT85" s="35">
        <f t="shared" si="11"/>
        <v>0</v>
      </c>
      <c r="AU85" s="87">
        <f t="shared" si="11"/>
        <v>0</v>
      </c>
      <c r="AV85" s="86">
        <f t="shared" si="11"/>
        <v>0</v>
      </c>
      <c r="AW85" s="35">
        <f t="shared" si="11"/>
        <v>0</v>
      </c>
      <c r="AX85" s="87">
        <f t="shared" si="11"/>
        <v>0</v>
      </c>
    </row>
    <row r="86" spans="3:50" x14ac:dyDescent="0.25">
      <c r="C86" s="96" t="s">
        <v>975</v>
      </c>
      <c r="D86" s="71"/>
      <c r="E86" s="2"/>
      <c r="F86" s="71"/>
      <c r="G86" s="97"/>
      <c r="H86" s="71"/>
      <c r="I86" s="97"/>
      <c r="J86" s="71"/>
      <c r="K86" s="97"/>
      <c r="L86" s="71"/>
      <c r="M86" s="97"/>
      <c r="N86" s="71"/>
      <c r="O86" s="97"/>
      <c r="P86" s="71"/>
      <c r="Q86" s="97"/>
      <c r="R86" s="116"/>
      <c r="S86" s="116"/>
      <c r="T86" s="91"/>
      <c r="U86" s="116"/>
      <c r="V86" s="116"/>
      <c r="W86" s="91"/>
      <c r="X86" s="116"/>
      <c r="Y86" s="116"/>
      <c r="Z86" s="91"/>
      <c r="AA86" s="116">
        <f>SUM(AA80:AA81)/AA85</f>
        <v>1</v>
      </c>
      <c r="AB86" s="116">
        <f t="shared" ref="AB86:AI86" si="12">SUM(AB80:AB81)/AB85</f>
        <v>0.7142857142857143</v>
      </c>
      <c r="AC86" s="116" t="e">
        <f t="shared" si="12"/>
        <v>#DIV/0!</v>
      </c>
      <c r="AD86" s="116">
        <f t="shared" si="12"/>
        <v>1</v>
      </c>
      <c r="AE86" s="116">
        <f t="shared" si="12"/>
        <v>0.83333333333333337</v>
      </c>
      <c r="AF86" s="116" t="e">
        <f t="shared" si="12"/>
        <v>#DIV/0!</v>
      </c>
      <c r="AG86" s="116">
        <f t="shared" si="12"/>
        <v>1</v>
      </c>
      <c r="AH86" s="116">
        <f t="shared" si="12"/>
        <v>0.83333333333333337</v>
      </c>
      <c r="AI86" s="116" t="e">
        <f t="shared" si="12"/>
        <v>#DIV/0!</v>
      </c>
      <c r="AJ86" s="116">
        <f t="shared" ref="AJ86:AX86" si="13">SUM(AJ80:AJ81)/SUM(AJ78:AJ81)</f>
        <v>1</v>
      </c>
      <c r="AK86" s="116">
        <f t="shared" si="13"/>
        <v>0.84615384615384615</v>
      </c>
      <c r="AL86" s="116" t="e">
        <f t="shared" si="13"/>
        <v>#DIV/0!</v>
      </c>
      <c r="AM86" s="116">
        <f t="shared" si="13"/>
        <v>1</v>
      </c>
      <c r="AN86" s="116">
        <f t="shared" si="13"/>
        <v>0.83333333333333337</v>
      </c>
      <c r="AO86" s="116" t="e">
        <f t="shared" si="13"/>
        <v>#DIV/0!</v>
      </c>
      <c r="AP86" s="116" t="e">
        <f t="shared" si="13"/>
        <v>#DIV/0!</v>
      </c>
      <c r="AQ86" s="116" t="e">
        <f t="shared" si="13"/>
        <v>#DIV/0!</v>
      </c>
      <c r="AR86" s="116" t="e">
        <f t="shared" si="13"/>
        <v>#DIV/0!</v>
      </c>
      <c r="AS86" s="116" t="e">
        <f t="shared" si="13"/>
        <v>#DIV/0!</v>
      </c>
      <c r="AT86" s="116" t="e">
        <f t="shared" si="13"/>
        <v>#DIV/0!</v>
      </c>
      <c r="AU86" s="116" t="e">
        <f t="shared" si="13"/>
        <v>#DIV/0!</v>
      </c>
      <c r="AV86" s="116" t="e">
        <f t="shared" si="13"/>
        <v>#DIV/0!</v>
      </c>
      <c r="AW86" s="116" t="e">
        <f t="shared" si="13"/>
        <v>#DIV/0!</v>
      </c>
      <c r="AX86" s="116" t="e">
        <f t="shared" si="13"/>
        <v>#DIV/0!</v>
      </c>
    </row>
    <row r="87" spans="3:50" x14ac:dyDescent="0.25">
      <c r="C87" s="100"/>
    </row>
    <row r="88" spans="3:50" x14ac:dyDescent="0.25">
      <c r="C88" s="92" t="s">
        <v>57</v>
      </c>
      <c r="D88" s="328" t="s">
        <v>955</v>
      </c>
      <c r="E88" s="329"/>
      <c r="F88" s="328" t="s">
        <v>956</v>
      </c>
      <c r="G88" s="329"/>
      <c r="H88" s="328" t="s">
        <v>956</v>
      </c>
      <c r="I88" s="329"/>
      <c r="J88" s="328" t="s">
        <v>956</v>
      </c>
      <c r="K88" s="329"/>
      <c r="L88" s="328" t="s">
        <v>956</v>
      </c>
      <c r="M88" s="329"/>
      <c r="N88" s="328" t="s">
        <v>956</v>
      </c>
      <c r="O88" s="329"/>
      <c r="P88" s="328" t="s">
        <v>956</v>
      </c>
      <c r="Q88" s="329"/>
      <c r="R88" s="541" t="s">
        <v>961</v>
      </c>
      <c r="S88" s="542"/>
      <c r="T88" s="543"/>
      <c r="U88" s="541" t="s">
        <v>962</v>
      </c>
      <c r="V88" s="542"/>
      <c r="W88" s="543"/>
      <c r="X88" s="541" t="s">
        <v>963</v>
      </c>
      <c r="Y88" s="542"/>
      <c r="Z88" s="543"/>
      <c r="AA88" s="541" t="s">
        <v>964</v>
      </c>
      <c r="AB88" s="542"/>
      <c r="AC88" s="543"/>
      <c r="AD88" s="541" t="s">
        <v>954</v>
      </c>
      <c r="AE88" s="542"/>
      <c r="AF88" s="543"/>
      <c r="AG88" s="541" t="s">
        <v>955</v>
      </c>
      <c r="AH88" s="542"/>
      <c r="AI88" s="543"/>
      <c r="AJ88" s="541" t="s">
        <v>956</v>
      </c>
      <c r="AK88" s="542"/>
      <c r="AL88" s="543"/>
      <c r="AM88" s="541" t="s">
        <v>957</v>
      </c>
      <c r="AN88" s="542"/>
      <c r="AO88" s="543"/>
      <c r="AP88" s="541" t="s">
        <v>958</v>
      </c>
      <c r="AQ88" s="542"/>
      <c r="AR88" s="543"/>
      <c r="AS88" s="541" t="s">
        <v>959</v>
      </c>
      <c r="AT88" s="542"/>
      <c r="AU88" s="543"/>
      <c r="AV88" s="541" t="s">
        <v>960</v>
      </c>
      <c r="AW88" s="542"/>
      <c r="AX88" s="543"/>
    </row>
    <row r="89" spans="3:50" x14ac:dyDescent="0.25">
      <c r="C89" s="93"/>
      <c r="D89" s="94" t="s">
        <v>965</v>
      </c>
      <c r="E89" s="43" t="s">
        <v>966</v>
      </c>
      <c r="F89" s="94" t="s">
        <v>965</v>
      </c>
      <c r="G89" s="43" t="s">
        <v>966</v>
      </c>
      <c r="H89" s="94" t="s">
        <v>965</v>
      </c>
      <c r="I89" s="43" t="s">
        <v>966</v>
      </c>
      <c r="J89" s="94" t="s">
        <v>965</v>
      </c>
      <c r="K89" s="43" t="s">
        <v>966</v>
      </c>
      <c r="L89" s="94" t="s">
        <v>965</v>
      </c>
      <c r="M89" s="43" t="s">
        <v>966</v>
      </c>
      <c r="N89" s="94" t="s">
        <v>965</v>
      </c>
      <c r="O89" s="43" t="s">
        <v>966</v>
      </c>
      <c r="P89" s="94" t="s">
        <v>965</v>
      </c>
      <c r="Q89" s="43" t="s">
        <v>966</v>
      </c>
      <c r="R89" s="80" t="s">
        <v>965</v>
      </c>
      <c r="S89" s="81" t="s">
        <v>966</v>
      </c>
      <c r="T89" s="82" t="s">
        <v>1205</v>
      </c>
      <c r="U89" s="80" t="s">
        <v>965</v>
      </c>
      <c r="V89" s="81" t="s">
        <v>966</v>
      </c>
      <c r="W89" s="82" t="s">
        <v>1205</v>
      </c>
      <c r="X89" s="80" t="s">
        <v>965</v>
      </c>
      <c r="Y89" s="81" t="s">
        <v>966</v>
      </c>
      <c r="Z89" s="82" t="s">
        <v>1205</v>
      </c>
      <c r="AA89" s="80" t="s">
        <v>965</v>
      </c>
      <c r="AB89" s="81" t="s">
        <v>966</v>
      </c>
      <c r="AC89" s="82" t="s">
        <v>1205</v>
      </c>
      <c r="AD89" s="80" t="s">
        <v>965</v>
      </c>
      <c r="AE89" s="81" t="s">
        <v>966</v>
      </c>
      <c r="AF89" s="82" t="s">
        <v>1205</v>
      </c>
      <c r="AG89" s="80" t="s">
        <v>965</v>
      </c>
      <c r="AH89" s="81" t="s">
        <v>966</v>
      </c>
      <c r="AI89" s="82" t="s">
        <v>1205</v>
      </c>
      <c r="AJ89" s="80" t="s">
        <v>965</v>
      </c>
      <c r="AK89" s="81" t="s">
        <v>966</v>
      </c>
      <c r="AL89" s="82" t="s">
        <v>1205</v>
      </c>
      <c r="AM89" s="80" t="s">
        <v>965</v>
      </c>
      <c r="AN89" s="81" t="s">
        <v>966</v>
      </c>
      <c r="AO89" s="82" t="s">
        <v>1205</v>
      </c>
      <c r="AP89" s="80" t="s">
        <v>965</v>
      </c>
      <c r="AQ89" s="81" t="s">
        <v>966</v>
      </c>
      <c r="AR89" s="82" t="s">
        <v>1205</v>
      </c>
      <c r="AS89" s="80" t="s">
        <v>965</v>
      </c>
      <c r="AT89" s="81" t="s">
        <v>966</v>
      </c>
      <c r="AU89" s="82" t="s">
        <v>1205</v>
      </c>
      <c r="AV89" s="80" t="s">
        <v>965</v>
      </c>
      <c r="AW89" s="81" t="s">
        <v>966</v>
      </c>
      <c r="AX89" s="82" t="s">
        <v>1205</v>
      </c>
    </row>
    <row r="90" spans="3:50" x14ac:dyDescent="0.25">
      <c r="C90" s="95" t="s">
        <v>967</v>
      </c>
      <c r="D90" s="94"/>
      <c r="E90" s="43"/>
      <c r="F90" s="94"/>
      <c r="G90" s="43"/>
      <c r="H90" s="94"/>
      <c r="I90" s="43"/>
      <c r="J90" s="94"/>
      <c r="K90" s="43"/>
      <c r="L90" s="94"/>
      <c r="M90" s="43"/>
      <c r="N90" s="94"/>
      <c r="O90" s="43"/>
      <c r="P90" s="94"/>
      <c r="Q90" s="43"/>
      <c r="R90" s="86"/>
      <c r="S90" s="35"/>
      <c r="T90" s="87"/>
      <c r="U90" s="86"/>
      <c r="V90" s="35"/>
      <c r="W90" s="87"/>
      <c r="X90" s="86"/>
      <c r="Y90" s="35"/>
      <c r="Z90" s="87"/>
      <c r="AA90" s="86">
        <f>COUNTIFS($AA$6:$AA$62,1,$C$6:$C$62,"Chequers")</f>
        <v>0</v>
      </c>
      <c r="AB90" s="35">
        <f>COUNTIFS($AB$6:$AB$62,1,$C$6:$C$62,"Chequers")</f>
        <v>0</v>
      </c>
      <c r="AC90" s="87">
        <f>COUNTIFS($AC$6:$AC$62,1,$C$6:$C$62,"Chequers")</f>
        <v>0</v>
      </c>
      <c r="AD90" s="86">
        <f>COUNTIFS($AD$6:$AD$62,1,$C$6:$C$62,"Chequers")</f>
        <v>0</v>
      </c>
      <c r="AE90" s="35">
        <f>COUNTIFS($AE$6:$AE$62,1,$C$6:$C$62,"Chequers")</f>
        <v>0</v>
      </c>
      <c r="AF90" s="87">
        <f>COUNTIFS($AF$6:$AF$62,1,$C$6:$C$62,"Chequers")</f>
        <v>0</v>
      </c>
      <c r="AG90" s="86">
        <f>COUNTIFS($AG$6:$AG$62,1,$C$6:$C$62,"Chequers")</f>
        <v>0</v>
      </c>
      <c r="AH90" s="35">
        <f>COUNTIFS($AH$6:$AH$62,1,$C$6:$C$62,"Chequers")</f>
        <v>0</v>
      </c>
      <c r="AI90" s="87">
        <f>COUNTIFS($AI$6:$AI$62,1,$C$6:$C$62,"Chequers")</f>
        <v>0</v>
      </c>
      <c r="AJ90" s="86">
        <f>COUNTIFS(AJ6:AJ62,1,C6:C62,"Chequers")</f>
        <v>1</v>
      </c>
      <c r="AK90" s="35">
        <f>COUNTIFS(AK6:AK62,1,C6:C62,"Chequers")</f>
        <v>1</v>
      </c>
      <c r="AL90" s="87">
        <f>COUNTIFS(AL6:AL62,1,C6:C62,"Chequers")</f>
        <v>0</v>
      </c>
      <c r="AM90" s="86">
        <f>COUNTIFS(AM6:AM62,1,C6:C62,"Chequers")</f>
        <v>0</v>
      </c>
      <c r="AN90" s="35">
        <f>COUNTIFS(AN6:AN62,1,C6:C62,"Chequers")</f>
        <v>0</v>
      </c>
      <c r="AO90" s="87">
        <f>COUNTIFS(AO6:AO62,1,C6:C62,"Chequers")</f>
        <v>0</v>
      </c>
      <c r="AP90" s="86">
        <f>COUNTIFS(AP6:AP62,1,C6:C62,"Chequers")</f>
        <v>0</v>
      </c>
      <c r="AQ90" s="35">
        <f>COUNTIFS(AQ6:AQ62,1,C6:C62,"Chequers")</f>
        <v>0</v>
      </c>
      <c r="AR90" s="87">
        <f>COUNTIFS(AR6:AR62,1,C6:C62,"Chequers")</f>
        <v>0</v>
      </c>
      <c r="AS90" s="86">
        <f>COUNTIFS(AS6:AS62,1,C6:C62,"Chequers")</f>
        <v>0</v>
      </c>
      <c r="AT90" s="35">
        <f>COUNTIFS(AT6:AT62,1,C6:C62,"Chequers")</f>
        <v>0</v>
      </c>
      <c r="AU90" s="87">
        <f>COUNTIFS(AU6:AU62,1,C6:C62,"Chequers")</f>
        <v>0</v>
      </c>
      <c r="AV90" s="86">
        <f>COUNTIFS(AV6:AV62,1,C6:C62,"Chequers")</f>
        <v>0</v>
      </c>
      <c r="AW90" s="35">
        <f>COUNTIFS(AW6:AW62,1,C6:C62,"Chequers")</f>
        <v>0</v>
      </c>
      <c r="AX90" s="87">
        <f>COUNTIFS(AX6:AX62,1,C6:C62,"Chequers")</f>
        <v>0</v>
      </c>
    </row>
    <row r="91" spans="3:50" x14ac:dyDescent="0.25">
      <c r="C91" s="96" t="s">
        <v>968</v>
      </c>
      <c r="D91" s="71"/>
      <c r="E91" s="2"/>
      <c r="F91" s="71"/>
      <c r="G91" s="2"/>
      <c r="H91" s="71"/>
      <c r="I91" s="2"/>
      <c r="J91" s="71"/>
      <c r="K91" s="2"/>
      <c r="L91" s="71"/>
      <c r="M91" s="2"/>
      <c r="N91" s="71"/>
      <c r="O91" s="2"/>
      <c r="P91" s="71"/>
      <c r="Q91" s="2"/>
      <c r="R91" s="86"/>
      <c r="S91" s="35"/>
      <c r="T91" s="87"/>
      <c r="U91" s="86"/>
      <c r="V91" s="35"/>
      <c r="W91" s="87"/>
      <c r="X91" s="86"/>
      <c r="Y91" s="35"/>
      <c r="Z91" s="87"/>
      <c r="AA91" s="86">
        <f>COUNTIFS($AA$6:$AA$62,2,$C$6:$C$62,"Chequers")</f>
        <v>0</v>
      </c>
      <c r="AB91" s="35">
        <f>COUNTIFS($AB$6:$AB$62,2,$C$6:$C$62,"Chequers")</f>
        <v>0</v>
      </c>
      <c r="AC91" s="87">
        <f>COUNTIFS($AC$6:$AC$62,2,$C$6:$C$62,"Chequers")</f>
        <v>0</v>
      </c>
      <c r="AD91" s="86">
        <f>COUNTIFS($AD$6:$AD$62,2,$C$6:$C$62,"Chequers")</f>
        <v>0</v>
      </c>
      <c r="AE91" s="35">
        <f>COUNTIFS($AE$6:$AE$62,2,$C$6:$C$62,"Chequers")</f>
        <v>0</v>
      </c>
      <c r="AF91" s="87">
        <f>COUNTIFS($AF$6:$AF$62,2,$C$6:$C$62,"Chequers")</f>
        <v>0</v>
      </c>
      <c r="AG91" s="86">
        <f>COUNTIFS($AG$6:$AG$62,2,$C$6:$C$62,"Chequers")</f>
        <v>0</v>
      </c>
      <c r="AH91" s="35">
        <f>COUNTIFS($AH$6:$AH$62,2,$C$6:$C$62,"Chequers")</f>
        <v>0</v>
      </c>
      <c r="AI91" s="87">
        <f>COUNTIFS($AI$6:$AI$62,2,$C$6:$C$62,"Chequers")</f>
        <v>0</v>
      </c>
      <c r="AJ91" s="86">
        <f>COUNTIFS(AJ7:AJ63,2,C7:C63,"Chequers")</f>
        <v>2</v>
      </c>
      <c r="AK91" s="35">
        <f>COUNTIFS(AK7:AK63,2,C7:C63,"Chequers")</f>
        <v>4</v>
      </c>
      <c r="AL91" s="87">
        <f>COUNTIFS(AL7:AL63,2,C7:C63,"Chequers")</f>
        <v>0</v>
      </c>
      <c r="AM91" s="86">
        <f>COUNTIFS(AM7:AM63,2,C7:C63,"Chequers")</f>
        <v>0</v>
      </c>
      <c r="AN91" s="35">
        <f>COUNTIFS(AN7:AN63,2,C7:C63,"Chequers")</f>
        <v>4</v>
      </c>
      <c r="AO91" s="87">
        <f>COUNTIFS(AO7:AO63,2,C7:C63,"Chequers")</f>
        <v>0</v>
      </c>
      <c r="AP91" s="86">
        <f>COUNTIFS(AP7:AP63,2,C7:C63,"Chequers")</f>
        <v>0</v>
      </c>
      <c r="AQ91" s="35">
        <f>COUNTIFS(AQ7:AQ63,2,C7:C63,"Chequers")</f>
        <v>0</v>
      </c>
      <c r="AR91" s="87">
        <f>COUNTIFS(AR7:AR63,2,C7:C63,"Chequers")</f>
        <v>0</v>
      </c>
      <c r="AS91" s="86">
        <f>COUNTIFS(AS7:AS63,2,C7:C63,"Chequers")</f>
        <v>0</v>
      </c>
      <c r="AT91" s="35">
        <f>COUNTIFS(AT7:AT63,2,C7:C63,"Chequers")</f>
        <v>0</v>
      </c>
      <c r="AU91" s="87">
        <f>COUNTIFS(AU7:AU63,2,C7:C63,"Chequers")</f>
        <v>0</v>
      </c>
      <c r="AV91" s="86">
        <f>COUNTIFS(AV7:AV63,2,C7:C63,"Chequers")</f>
        <v>0</v>
      </c>
      <c r="AW91" s="35">
        <f>COUNTIFS(AW7:AW63,2,C7:C63,"Chequers")</f>
        <v>0</v>
      </c>
      <c r="AX91" s="87">
        <f>COUNTIFS(AX7:AX63,2,C7:C63,"Chequers")</f>
        <v>0</v>
      </c>
    </row>
    <row r="92" spans="3:50" x14ac:dyDescent="0.25">
      <c r="C92" s="96" t="s">
        <v>969</v>
      </c>
      <c r="D92" s="71"/>
      <c r="E92" s="2"/>
      <c r="F92" s="71"/>
      <c r="G92" s="2"/>
      <c r="H92" s="71"/>
      <c r="I92" s="2"/>
      <c r="J92" s="71"/>
      <c r="K92" s="2"/>
      <c r="L92" s="71"/>
      <c r="M92" s="2"/>
      <c r="N92" s="71"/>
      <c r="O92" s="2"/>
      <c r="P92" s="71"/>
      <c r="Q92" s="2"/>
      <c r="R92" s="86"/>
      <c r="S92" s="35"/>
      <c r="T92" s="87"/>
      <c r="U92" s="86"/>
      <c r="V92" s="35"/>
      <c r="W92" s="87"/>
      <c r="X92" s="86"/>
      <c r="Y92" s="35"/>
      <c r="Z92" s="87"/>
      <c r="AA92" s="86">
        <f>COUNTIFS($AA$6:$AA$62,3,$C$6:$C$62,"Chequers")</f>
        <v>4</v>
      </c>
      <c r="AB92" s="35">
        <f>COUNTIFS($AB$6:$AB$62,3,$C$6:$C$62,"Chequers")</f>
        <v>4</v>
      </c>
      <c r="AC92" s="87">
        <f>COUNTIFS($AC$6:$AC$62,3,$C$6:$C$62,"Chequers")</f>
        <v>0</v>
      </c>
      <c r="AD92" s="86">
        <f>COUNTIFS($AD$6:$AD$62,3,$C$6:$C$62,"Chequers")</f>
        <v>1</v>
      </c>
      <c r="AE92" s="35">
        <f>COUNTIFS($AE$6:$AE$62,3,$C$6:$C$62,"Chequers")</f>
        <v>2</v>
      </c>
      <c r="AF92" s="87">
        <f>COUNTIFS($AF$6:$AF$62,3,$C$6:$C$62,"Chequers")</f>
        <v>0</v>
      </c>
      <c r="AG92" s="86">
        <f>COUNTIFS($AG$6:$AG$62,3,$C$6:$C$62,"Chequers")</f>
        <v>0</v>
      </c>
      <c r="AH92" s="35">
        <f>COUNTIFS($AH$6:$AH$62,3,$C$6:$C$62,"Chequers")</f>
        <v>1</v>
      </c>
      <c r="AI92" s="87">
        <f>COUNTIFS($AI$6:$AI$62,3,$C$6:$C$62,"Chequers")</f>
        <v>0</v>
      </c>
      <c r="AJ92" s="86">
        <f>COUNTIFS(AJ8:AJ64,3,C8:C64,"Chequers")</f>
        <v>4</v>
      </c>
      <c r="AK92" s="35">
        <f>COUNTIFS(AK8:AK64,3,C8:C64,"Chequers")</f>
        <v>2</v>
      </c>
      <c r="AL92" s="87">
        <f>COUNTIFS(AL8:AL64,3,C8:C64,"Chequers")</f>
        <v>0</v>
      </c>
      <c r="AM92" s="86">
        <f>COUNTIFS(AM8:AM64,3,C8:C64,"Chequers")</f>
        <v>5</v>
      </c>
      <c r="AN92" s="35">
        <f>COUNTIFS(AN8:AN64,3,C8:C64,"Chequers")</f>
        <v>1</v>
      </c>
      <c r="AO92" s="87">
        <f>COUNTIFS(AO8:AO64,3,C8:C64,"Chequers")</f>
        <v>0</v>
      </c>
      <c r="AP92" s="86">
        <f>COUNTIFS(AP8:AP64,3,C8:C64,"Chequers")</f>
        <v>0</v>
      </c>
      <c r="AQ92" s="35">
        <f>COUNTIFS(AQ8:AQ64,3,C8:C64,"Chequers")</f>
        <v>0</v>
      </c>
      <c r="AR92" s="87">
        <f>COUNTIFS(AR8:AR64,3,C8:C64,"Chequers")</f>
        <v>0</v>
      </c>
      <c r="AS92" s="86">
        <f>COUNTIFS(AS8:AS64,3,C8:C64,"Chequers")</f>
        <v>0</v>
      </c>
      <c r="AT92" s="35">
        <f>COUNTIFS(AT8:AT64,3,C8:C64,"Chequers")</f>
        <v>0</v>
      </c>
      <c r="AU92" s="87">
        <f>COUNTIFS(AU8:AU64,3,C8:C64,"Chequers")</f>
        <v>0</v>
      </c>
      <c r="AV92" s="86">
        <f>COUNTIFS(AV8:AV64,3,C8:C64,"Chequers")</f>
        <v>0</v>
      </c>
      <c r="AW92" s="35">
        <f>COUNTIFS(AW8:AW64,3,C8:C64,"Chequers")</f>
        <v>0</v>
      </c>
      <c r="AX92" s="87">
        <f>COUNTIFS(AX8:AX64,3,C8:C64,"Chequers")</f>
        <v>0</v>
      </c>
    </row>
    <row r="93" spans="3:50" x14ac:dyDescent="0.25">
      <c r="C93" s="96" t="s">
        <v>970</v>
      </c>
      <c r="D93" s="71"/>
      <c r="E93" s="2"/>
      <c r="F93" s="71"/>
      <c r="G93" s="2"/>
      <c r="H93" s="71"/>
      <c r="I93" s="2"/>
      <c r="J93" s="71"/>
      <c r="K93" s="2"/>
      <c r="L93" s="71"/>
      <c r="M93" s="2"/>
      <c r="N93" s="71"/>
      <c r="O93" s="2"/>
      <c r="P93" s="71"/>
      <c r="Q93" s="2"/>
      <c r="R93" s="86"/>
      <c r="S93" s="35"/>
      <c r="T93" s="87"/>
      <c r="U93" s="86"/>
      <c r="V93" s="35"/>
      <c r="W93" s="87"/>
      <c r="X93" s="86"/>
      <c r="Y93" s="35"/>
      <c r="Z93" s="87"/>
      <c r="AA93" s="86">
        <f>COUNTIFS($AA$6:$AA$62,4,$C$6:$C$62,"Chequers")</f>
        <v>1</v>
      </c>
      <c r="AB93" s="35">
        <f>COUNTIFS($AB$6:$AB$62,4,$C$6:$C$62,"Chequers")</f>
        <v>1</v>
      </c>
      <c r="AC93" s="87">
        <f>COUNTIFS($AC$6:$AC$62,4,$C$6:$C$62,"Chequers")</f>
        <v>0</v>
      </c>
      <c r="AD93" s="86">
        <f>COUNTIFS($AD$6:$AD$62,4,$C$6:$C$62,"Chequers")</f>
        <v>6</v>
      </c>
      <c r="AE93" s="35">
        <f>COUNTIFS($AE$6:$AE$62,4,$C$6:$C$62,"Chequers")</f>
        <v>5</v>
      </c>
      <c r="AF93" s="87">
        <f>COUNTIFS($AF$6:$AF$62,4,$C$6:$C$62,"Chequers")</f>
        <v>0</v>
      </c>
      <c r="AG93" s="86">
        <f>COUNTIFS($AG$6:$AG$62,4,$C$6:$C$62,"Chequers")</f>
        <v>6</v>
      </c>
      <c r="AH93" s="35">
        <f>COUNTIFS($AH$6:$AH$62,4,$C$6:$C$62,"Chequers")</f>
        <v>5</v>
      </c>
      <c r="AI93" s="87">
        <f>COUNTIFS($AI$6:$AI$62,4,$C$6:$C$62,"Chequers")</f>
        <v>0</v>
      </c>
      <c r="AJ93" s="86">
        <f>COUNTIFS(AJ9:AJ65,4,C9:C65,"Chequers")</f>
        <v>0</v>
      </c>
      <c r="AK93" s="35">
        <f>COUNTIFS(AK9:AK65,4,C9:C65,"Chequers")</f>
        <v>0</v>
      </c>
      <c r="AL93" s="87">
        <f>COUNTIFS(AL9:AL65,4,C9:C65,"Chequers")</f>
        <v>0</v>
      </c>
      <c r="AM93" s="86">
        <f>COUNTIFS(AM9:AM65,4,C9:C65,"Chequers")</f>
        <v>0</v>
      </c>
      <c r="AN93" s="35">
        <f>COUNTIFS(AN9:AN65,4,C9:C65,"Chequers")</f>
        <v>0</v>
      </c>
      <c r="AO93" s="87">
        <f>COUNTIFS(AO9:AO65,4,C9:C65,"Chequers")</f>
        <v>0</v>
      </c>
      <c r="AP93" s="86">
        <f>COUNTIFS(AP9:AP65,4,C9:C65,"Chequers")</f>
        <v>0</v>
      </c>
      <c r="AQ93" s="35">
        <f>COUNTIFS(AQ9:AQ65,4,C9:C65,"Chequers")</f>
        <v>0</v>
      </c>
      <c r="AR93" s="87">
        <f>COUNTIFS(AR9:AR65,4,C9:C65,"Chequers")</f>
        <v>0</v>
      </c>
      <c r="AS93" s="86">
        <f>COUNTIFS(AS9:AS65,4,C9:C65,"Chequers")</f>
        <v>0</v>
      </c>
      <c r="AT93" s="35">
        <f>COUNTIFS(AT9:AT65,4,C9:C65,"Chequers")</f>
        <v>0</v>
      </c>
      <c r="AU93" s="87">
        <f>COUNTIFS(AU9:AU65,4,C9:C65,"Chequers")</f>
        <v>0</v>
      </c>
      <c r="AV93" s="86">
        <f>COUNTIFS(AV9:AV65,4,C9:C65,"Chequers")</f>
        <v>0</v>
      </c>
      <c r="AW93" s="35">
        <f>COUNTIFS(AW9:AW65,4,C9:C65,"Chequers")</f>
        <v>0</v>
      </c>
      <c r="AX93" s="87">
        <f>COUNTIFS(AX9:AX65,4,C9:C65,"Chequers")</f>
        <v>0</v>
      </c>
    </row>
    <row r="94" spans="3:50" x14ac:dyDescent="0.25">
      <c r="C94" s="96" t="s">
        <v>971</v>
      </c>
      <c r="D94" s="71"/>
      <c r="E94" s="2"/>
      <c r="F94" s="71"/>
      <c r="G94" s="2"/>
      <c r="H94" s="71"/>
      <c r="I94" s="2"/>
      <c r="J94" s="71"/>
      <c r="K94" s="2"/>
      <c r="L94" s="71"/>
      <c r="M94" s="2"/>
      <c r="N94" s="71"/>
      <c r="O94" s="2"/>
      <c r="P94" s="71"/>
      <c r="Q94" s="2"/>
      <c r="R94" s="86">
        <v>17</v>
      </c>
      <c r="S94" s="86">
        <v>17</v>
      </c>
      <c r="T94" s="86">
        <v>17</v>
      </c>
      <c r="U94" s="86">
        <v>17</v>
      </c>
      <c r="V94" s="86">
        <v>17</v>
      </c>
      <c r="W94" s="86">
        <v>17</v>
      </c>
      <c r="X94" s="86">
        <v>17</v>
      </c>
      <c r="Y94" s="86">
        <v>17</v>
      </c>
      <c r="Z94" s="86">
        <v>17</v>
      </c>
      <c r="AA94" s="86">
        <v>17</v>
      </c>
      <c r="AB94" s="86">
        <v>17</v>
      </c>
      <c r="AC94" s="86">
        <v>17</v>
      </c>
      <c r="AD94" s="86">
        <v>17</v>
      </c>
      <c r="AE94" s="86">
        <v>17</v>
      </c>
      <c r="AF94" s="86">
        <v>17</v>
      </c>
      <c r="AG94" s="86">
        <v>17</v>
      </c>
      <c r="AH94" s="86">
        <v>17</v>
      </c>
      <c r="AI94" s="86">
        <v>17</v>
      </c>
      <c r="AJ94" s="86">
        <v>17</v>
      </c>
      <c r="AK94" s="86">
        <v>17</v>
      </c>
      <c r="AL94" s="86">
        <v>17</v>
      </c>
      <c r="AM94" s="86">
        <v>17</v>
      </c>
      <c r="AN94" s="86">
        <v>17</v>
      </c>
      <c r="AO94" s="86">
        <v>17</v>
      </c>
      <c r="AP94" s="86">
        <v>17</v>
      </c>
      <c r="AQ94" s="86">
        <v>17</v>
      </c>
      <c r="AR94" s="86">
        <v>17</v>
      </c>
      <c r="AS94" s="86">
        <v>17</v>
      </c>
      <c r="AT94" s="86">
        <v>17</v>
      </c>
      <c r="AU94" s="86">
        <v>17</v>
      </c>
      <c r="AV94" s="86">
        <v>17</v>
      </c>
      <c r="AW94" s="86">
        <v>17</v>
      </c>
      <c r="AX94" s="86">
        <v>17</v>
      </c>
    </row>
    <row r="95" spans="3:50" x14ac:dyDescent="0.25">
      <c r="C95" s="95" t="s">
        <v>1276</v>
      </c>
      <c r="D95" s="71"/>
      <c r="E95" s="2"/>
      <c r="F95" s="71"/>
      <c r="G95" s="2"/>
      <c r="H95" s="71"/>
      <c r="I95" s="2"/>
      <c r="J95" s="71"/>
      <c r="K95" s="2"/>
      <c r="L95" s="71"/>
      <c r="M95" s="2"/>
      <c r="N95" s="71"/>
      <c r="O95" s="2"/>
      <c r="P95" s="71"/>
      <c r="Q95" s="2"/>
      <c r="R95" s="86"/>
      <c r="S95" s="35"/>
      <c r="T95" s="87"/>
      <c r="U95" s="86"/>
      <c r="V95" s="35"/>
      <c r="W95" s="87"/>
      <c r="X95" s="86"/>
      <c r="Y95" s="35"/>
      <c r="Z95" s="87"/>
      <c r="AA95" s="86"/>
      <c r="AB95" s="35"/>
      <c r="AC95" s="87"/>
      <c r="AD95" s="86"/>
      <c r="AE95" s="35"/>
      <c r="AF95" s="87"/>
      <c r="AG95" s="86"/>
      <c r="AH95" s="35"/>
      <c r="AI95" s="87"/>
      <c r="AJ95" s="86"/>
      <c r="AK95" s="35"/>
      <c r="AL95" s="87"/>
      <c r="AM95" s="86"/>
      <c r="AN95" s="35"/>
      <c r="AO95" s="87"/>
      <c r="AP95" s="86"/>
      <c r="AQ95" s="35"/>
      <c r="AR95" s="87"/>
      <c r="AS95" s="86"/>
      <c r="AT95" s="35"/>
      <c r="AU95" s="87"/>
      <c r="AV95" s="86"/>
      <c r="AW95" s="35"/>
      <c r="AX95" s="87"/>
    </row>
    <row r="96" spans="3:50" x14ac:dyDescent="0.25">
      <c r="C96" s="95" t="s">
        <v>973</v>
      </c>
      <c r="D96" s="71"/>
      <c r="E96" s="2"/>
      <c r="F96" s="71"/>
      <c r="G96" s="2"/>
      <c r="H96" s="71"/>
      <c r="I96" s="2"/>
      <c r="J96" s="71"/>
      <c r="K96" s="2"/>
      <c r="L96" s="71"/>
      <c r="M96" s="2"/>
      <c r="N96" s="71"/>
      <c r="O96" s="2"/>
      <c r="P96" s="71"/>
      <c r="Q96" s="2"/>
      <c r="R96" s="86"/>
      <c r="S96" s="35"/>
      <c r="T96" s="87"/>
      <c r="U96" s="86"/>
      <c r="V96" s="35"/>
      <c r="W96" s="87"/>
      <c r="X96" s="86"/>
      <c r="Y96" s="35"/>
      <c r="Z96" s="87"/>
      <c r="AA96" s="86">
        <f>COUNTIFS($AA$6:$AA$62,#N/A,$C$6:$C$62,"Chequers")</f>
        <v>12</v>
      </c>
      <c r="AB96" s="86">
        <f>COUNTIFS($AB$6:$AB$62,#N/A,$C$6:$C$62,"Chequers")</f>
        <v>12</v>
      </c>
      <c r="AC96" s="86">
        <f>COUNTIFS($AC$6:$AC$62,#N/A,$C$6:$C$62,"Chequers")</f>
        <v>0</v>
      </c>
      <c r="AD96" s="86">
        <f>COUNTIFS($AD$6:$AD$62,#N/A,$C$6:$C$62,"Chequers")</f>
        <v>10</v>
      </c>
      <c r="AE96" s="86">
        <f>COUNTIFS($AE$6:$AE$62,#N/A,$C$6:$C$62,"Chequers")</f>
        <v>10</v>
      </c>
      <c r="AF96" s="86">
        <f>COUNTIFS($AF$6:$AF$62,#N/A,$C$6:$C$62,"Chequers")</f>
        <v>0</v>
      </c>
      <c r="AG96" s="86">
        <f>COUNTIFS($AG$6:$AG$62,#N/A,$C$6:$C$62,"Chequers")</f>
        <v>11</v>
      </c>
      <c r="AH96" s="86">
        <f>COUNTIFS($AH$6:$AH$62,#N/A,$C$6:$C$62,"Chequers")</f>
        <v>11</v>
      </c>
      <c r="AI96" s="86">
        <f>COUNTIFS($AI$6:$AI$62,#N/A,$C$6:$C$62,"Chequers")</f>
        <v>0</v>
      </c>
      <c r="AJ96" s="86">
        <f>COUNTIFS(AJ6:AJ62,#N/A,C6:C62,"Chequers")</f>
        <v>9</v>
      </c>
      <c r="AK96" s="86">
        <f>COUNTIFS(AK6:AK62,#N/A,C6:C62,"Chequers")</f>
        <v>9</v>
      </c>
      <c r="AL96" s="86">
        <f>COUNTIFS(AL6:AL62,#N/A,C6:C62,"Chequers")</f>
        <v>0</v>
      </c>
      <c r="AM96" s="86">
        <f>COUNTIFS(AM6:AM62,#N/A,C6:C62,"Chequers")</f>
        <v>12</v>
      </c>
      <c r="AN96" s="86">
        <f>COUNTIFS(AN6:AN62,#N/A,C6:C62,"Chequers")</f>
        <v>12</v>
      </c>
      <c r="AO96" s="86">
        <f>COUNTIFS(AO6:AO62,#N/A,C6:C62,"Chequers")</f>
        <v>0</v>
      </c>
      <c r="AP96" s="86">
        <f>COUNTIFS(AP6:AP62,#N/A,C6:C62,"Chequers")</f>
        <v>0</v>
      </c>
      <c r="AQ96" s="86">
        <f>COUNTIFS(AQ6:AQ62,#N/A,C6:C62,"Chequers")</f>
        <v>0</v>
      </c>
      <c r="AR96" s="86">
        <f>COUNTIFS(AR6:AR62,#N/A,C6:C62,"Chequers")</f>
        <v>0</v>
      </c>
      <c r="AS96" s="86">
        <f>COUNTIFS(AS6:AS62,#N/A,C6:C62,"Chequers")</f>
        <v>0</v>
      </c>
      <c r="AT96" s="86">
        <f>COUNTIFS(AT6:AT62,#N/A,C6:C62,"Chequers")</f>
        <v>0</v>
      </c>
      <c r="AU96" s="86">
        <f>COUNTIFS(AU6:AU62,#N/A,C6:C62,"Chequers")</f>
        <v>0</v>
      </c>
      <c r="AV96" s="86">
        <f>COUNTIFS(AV6:AV62,#N/A,C6:C62,"Chequers")</f>
        <v>0</v>
      </c>
      <c r="AW96" s="86">
        <f>COUNTIFS(AW6:AW62,#N/A,C6:C62,"Chequers")</f>
        <v>0</v>
      </c>
      <c r="AX96" s="86">
        <f>COUNTIFS(AX6:AX62,#N/A,C6:C62,"Chequers")</f>
        <v>0</v>
      </c>
    </row>
    <row r="97" spans="3:50" ht="23.25" x14ac:dyDescent="0.25">
      <c r="C97" s="99" t="s">
        <v>974</v>
      </c>
      <c r="D97" s="71"/>
      <c r="E97" s="2"/>
      <c r="F97" s="71"/>
      <c r="G97" s="2"/>
      <c r="H97" s="71"/>
      <c r="I97" s="2"/>
      <c r="J97" s="71"/>
      <c r="K97" s="2"/>
      <c r="L97" s="71"/>
      <c r="M97" s="2"/>
      <c r="N97" s="71"/>
      <c r="O97" s="2"/>
      <c r="P97" s="71"/>
      <c r="Q97" s="2"/>
      <c r="R97" s="86"/>
      <c r="S97" s="35"/>
      <c r="T97" s="87"/>
      <c r="U97" s="86"/>
      <c r="V97" s="35"/>
      <c r="W97" s="87"/>
      <c r="X97" s="86"/>
      <c r="Y97" s="35"/>
      <c r="Z97" s="87"/>
      <c r="AA97" s="86">
        <f t="shared" ref="AA97:AI97" si="14">SUM(AA90:AA93)</f>
        <v>5</v>
      </c>
      <c r="AB97" s="35">
        <f t="shared" si="14"/>
        <v>5</v>
      </c>
      <c r="AC97" s="87">
        <f t="shared" si="14"/>
        <v>0</v>
      </c>
      <c r="AD97" s="86">
        <f t="shared" si="14"/>
        <v>7</v>
      </c>
      <c r="AE97" s="35">
        <f t="shared" si="14"/>
        <v>7</v>
      </c>
      <c r="AF97" s="87">
        <f t="shared" si="14"/>
        <v>0</v>
      </c>
      <c r="AG97" s="86">
        <f t="shared" si="14"/>
        <v>6</v>
      </c>
      <c r="AH97" s="35">
        <f t="shared" si="14"/>
        <v>6</v>
      </c>
      <c r="AI97" s="87">
        <f t="shared" si="14"/>
        <v>0</v>
      </c>
      <c r="AJ97" s="86">
        <f>SUM(AJ90:AJ93)</f>
        <v>7</v>
      </c>
      <c r="AK97" s="35">
        <f t="shared" ref="AK97:AT97" si="15">SUM(AK90:AK93)</f>
        <v>7</v>
      </c>
      <c r="AL97" s="87">
        <f t="shared" si="15"/>
        <v>0</v>
      </c>
      <c r="AM97" s="86">
        <f t="shared" si="15"/>
        <v>5</v>
      </c>
      <c r="AN97" s="35">
        <f t="shared" si="15"/>
        <v>5</v>
      </c>
      <c r="AO97" s="87">
        <f t="shared" si="15"/>
        <v>0</v>
      </c>
      <c r="AP97" s="86">
        <f t="shared" si="15"/>
        <v>0</v>
      </c>
      <c r="AQ97" s="35">
        <f t="shared" si="15"/>
        <v>0</v>
      </c>
      <c r="AR97" s="87">
        <f t="shared" si="15"/>
        <v>0</v>
      </c>
      <c r="AS97" s="86">
        <f t="shared" si="15"/>
        <v>0</v>
      </c>
      <c r="AT97" s="35">
        <f t="shared" si="15"/>
        <v>0</v>
      </c>
      <c r="AU97" s="87">
        <f>SUM(AU90:AU93)</f>
        <v>0</v>
      </c>
      <c r="AV97" s="86">
        <f>SUM(AV90:AV93)</f>
        <v>0</v>
      </c>
      <c r="AW97" s="35">
        <f>SUM(AW90:AW93)</f>
        <v>0</v>
      </c>
      <c r="AX97" s="87">
        <f>SUM(AX90:AX93)</f>
        <v>0</v>
      </c>
    </row>
    <row r="98" spans="3:50" x14ac:dyDescent="0.25">
      <c r="C98" s="96" t="s">
        <v>975</v>
      </c>
      <c r="D98" s="71"/>
      <c r="E98" s="2"/>
      <c r="F98" s="71"/>
      <c r="G98" s="2"/>
      <c r="H98" s="71"/>
      <c r="I98" s="2"/>
      <c r="J98" s="71"/>
      <c r="K98" s="2"/>
      <c r="L98" s="71"/>
      <c r="M98" s="2"/>
      <c r="N98" s="71"/>
      <c r="O98" s="2"/>
      <c r="P98" s="71"/>
      <c r="Q98" s="2"/>
      <c r="R98" s="116"/>
      <c r="S98" s="116"/>
      <c r="T98" s="91"/>
      <c r="U98" s="116"/>
      <c r="V98" s="116"/>
      <c r="W98" s="91"/>
      <c r="X98" s="116"/>
      <c r="Y98" s="116"/>
      <c r="Z98" s="91"/>
      <c r="AA98" s="116">
        <f t="shared" ref="AA98:AJ98" si="16">SUM(AA92:AA93)/SUM(AA90:AA93)</f>
        <v>1</v>
      </c>
      <c r="AB98" s="116">
        <f t="shared" si="16"/>
        <v>1</v>
      </c>
      <c r="AC98" s="91" t="e">
        <f t="shared" si="16"/>
        <v>#DIV/0!</v>
      </c>
      <c r="AD98" s="116">
        <f t="shared" si="16"/>
        <v>1</v>
      </c>
      <c r="AE98" s="116">
        <f t="shared" si="16"/>
        <v>1</v>
      </c>
      <c r="AF98" s="91" t="e">
        <f t="shared" si="16"/>
        <v>#DIV/0!</v>
      </c>
      <c r="AG98" s="116">
        <f t="shared" si="16"/>
        <v>1</v>
      </c>
      <c r="AH98" s="116">
        <f t="shared" si="16"/>
        <v>1</v>
      </c>
      <c r="AI98" s="91" t="e">
        <f t="shared" si="16"/>
        <v>#DIV/0!</v>
      </c>
      <c r="AJ98" s="116">
        <f t="shared" si="16"/>
        <v>0.5714285714285714</v>
      </c>
      <c r="AK98" s="116">
        <f>SUM(AK92:AK93)/SUM(AK90:AK93)</f>
        <v>0.2857142857142857</v>
      </c>
      <c r="AL98" s="91" t="e">
        <f t="shared" ref="AL98:AT98" si="17">SUM(AL92:AL93)/SUM(AL90:AL93)</f>
        <v>#DIV/0!</v>
      </c>
      <c r="AM98" s="116">
        <f t="shared" si="17"/>
        <v>1</v>
      </c>
      <c r="AN98" s="116">
        <f t="shared" si="17"/>
        <v>0.2</v>
      </c>
      <c r="AO98" s="91" t="e">
        <f t="shared" si="17"/>
        <v>#DIV/0!</v>
      </c>
      <c r="AP98" s="116" t="e">
        <f t="shared" si="17"/>
        <v>#DIV/0!</v>
      </c>
      <c r="AQ98" s="116" t="e">
        <f t="shared" si="17"/>
        <v>#DIV/0!</v>
      </c>
      <c r="AR98" s="91" t="e">
        <f t="shared" si="17"/>
        <v>#DIV/0!</v>
      </c>
      <c r="AS98" s="116" t="e">
        <f t="shared" si="17"/>
        <v>#DIV/0!</v>
      </c>
      <c r="AT98" s="116" t="e">
        <f t="shared" si="17"/>
        <v>#DIV/0!</v>
      </c>
      <c r="AU98" s="91" t="e">
        <f>SUM(AU92:AU93)/SUM(AU90:AU93)</f>
        <v>#DIV/0!</v>
      </c>
      <c r="AV98" s="116" t="e">
        <f>SUM(AV92:AV93)/SUM(AV90:AV93)</f>
        <v>#DIV/0!</v>
      </c>
      <c r="AW98" s="116" t="e">
        <f>SUM(AW92:AW93)/SUM(AW90:AW93)</f>
        <v>#DIV/0!</v>
      </c>
      <c r="AX98" s="91" t="e">
        <f>SUM(AX92:AX93)/SUM(AX90:AX93)</f>
        <v>#DIV/0!</v>
      </c>
    </row>
    <row r="99" spans="3:50" x14ac:dyDescent="0.25">
      <c r="C99" s="100"/>
    </row>
    <row r="100" spans="3:50" x14ac:dyDescent="0.25">
      <c r="C100" s="92" t="s">
        <v>1221</v>
      </c>
      <c r="D100" s="328" t="s">
        <v>955</v>
      </c>
      <c r="E100" s="329"/>
      <c r="F100" s="328" t="s">
        <v>956</v>
      </c>
      <c r="G100" s="329"/>
      <c r="H100" s="328" t="s">
        <v>956</v>
      </c>
      <c r="I100" s="329"/>
      <c r="J100" s="328" t="s">
        <v>956</v>
      </c>
      <c r="K100" s="329"/>
      <c r="L100" s="328" t="s">
        <v>956</v>
      </c>
      <c r="M100" s="329"/>
      <c r="N100" s="328" t="s">
        <v>956</v>
      </c>
      <c r="O100" s="329"/>
      <c r="P100" s="328" t="s">
        <v>956</v>
      </c>
      <c r="Q100" s="329"/>
      <c r="R100" s="544" t="s">
        <v>961</v>
      </c>
      <c r="S100" s="545"/>
      <c r="T100" s="546"/>
      <c r="U100" s="545" t="s">
        <v>962</v>
      </c>
      <c r="V100" s="545"/>
      <c r="W100" s="546"/>
      <c r="X100" s="544" t="s">
        <v>963</v>
      </c>
      <c r="Y100" s="545"/>
      <c r="Z100" s="546"/>
      <c r="AA100" s="544" t="s">
        <v>964</v>
      </c>
      <c r="AB100" s="545"/>
      <c r="AC100" s="546"/>
      <c r="AD100" s="544" t="s">
        <v>954</v>
      </c>
      <c r="AE100" s="545"/>
      <c r="AF100" s="546"/>
      <c r="AG100" s="544" t="s">
        <v>955</v>
      </c>
      <c r="AH100" s="545"/>
      <c r="AI100" s="546"/>
      <c r="AJ100" s="544" t="s">
        <v>956</v>
      </c>
      <c r="AK100" s="545"/>
      <c r="AL100" s="546"/>
      <c r="AM100" s="544" t="s">
        <v>957</v>
      </c>
      <c r="AN100" s="545"/>
      <c r="AO100" s="546"/>
      <c r="AP100" s="544" t="s">
        <v>958</v>
      </c>
      <c r="AQ100" s="545"/>
      <c r="AR100" s="546"/>
      <c r="AS100" s="544" t="s">
        <v>959</v>
      </c>
      <c r="AT100" s="545"/>
      <c r="AU100" s="546"/>
      <c r="AV100" s="544" t="s">
        <v>960</v>
      </c>
      <c r="AW100" s="545"/>
      <c r="AX100" s="546"/>
    </row>
    <row r="101" spans="3:50" x14ac:dyDescent="0.25">
      <c r="C101" s="93"/>
      <c r="D101" s="94" t="s">
        <v>965</v>
      </c>
      <c r="E101" s="43" t="s">
        <v>966</v>
      </c>
      <c r="F101" s="94" t="s">
        <v>965</v>
      </c>
      <c r="G101" s="43" t="s">
        <v>966</v>
      </c>
      <c r="H101" s="94" t="s">
        <v>965</v>
      </c>
      <c r="I101" s="43" t="s">
        <v>966</v>
      </c>
      <c r="J101" s="94" t="s">
        <v>965</v>
      </c>
      <c r="K101" s="43" t="s">
        <v>966</v>
      </c>
      <c r="L101" s="94" t="s">
        <v>965</v>
      </c>
      <c r="M101" s="43" t="s">
        <v>966</v>
      </c>
      <c r="N101" s="94" t="s">
        <v>965</v>
      </c>
      <c r="O101" s="43" t="s">
        <v>966</v>
      </c>
      <c r="P101" s="94" t="s">
        <v>965</v>
      </c>
      <c r="Q101" s="43" t="s">
        <v>966</v>
      </c>
      <c r="R101" s="80" t="s">
        <v>965</v>
      </c>
      <c r="S101" s="81" t="s">
        <v>966</v>
      </c>
      <c r="T101" s="82" t="s">
        <v>1205</v>
      </c>
      <c r="U101" s="80" t="s">
        <v>965</v>
      </c>
      <c r="V101" s="81" t="s">
        <v>966</v>
      </c>
      <c r="W101" s="82" t="s">
        <v>1205</v>
      </c>
      <c r="X101" s="80" t="s">
        <v>965</v>
      </c>
      <c r="Y101" s="81" t="s">
        <v>966</v>
      </c>
      <c r="Z101" s="82" t="s">
        <v>1205</v>
      </c>
      <c r="AA101" s="80" t="s">
        <v>965</v>
      </c>
      <c r="AB101" s="81" t="s">
        <v>966</v>
      </c>
      <c r="AC101" s="82" t="s">
        <v>1205</v>
      </c>
      <c r="AD101" s="80" t="s">
        <v>965</v>
      </c>
      <c r="AE101" s="81" t="s">
        <v>966</v>
      </c>
      <c r="AF101" s="82" t="s">
        <v>1205</v>
      </c>
      <c r="AG101" s="80" t="s">
        <v>965</v>
      </c>
      <c r="AH101" s="81" t="s">
        <v>966</v>
      </c>
      <c r="AI101" s="82" t="s">
        <v>1205</v>
      </c>
      <c r="AJ101" s="80" t="s">
        <v>965</v>
      </c>
      <c r="AK101" s="81" t="s">
        <v>966</v>
      </c>
      <c r="AL101" s="82" t="s">
        <v>1205</v>
      </c>
      <c r="AM101" s="80" t="s">
        <v>965</v>
      </c>
      <c r="AN101" s="81" t="s">
        <v>966</v>
      </c>
      <c r="AO101" s="82" t="s">
        <v>1205</v>
      </c>
      <c r="AP101" s="80" t="s">
        <v>965</v>
      </c>
      <c r="AQ101" s="81" t="s">
        <v>966</v>
      </c>
      <c r="AR101" s="82" t="s">
        <v>1205</v>
      </c>
      <c r="AS101" s="80" t="s">
        <v>965</v>
      </c>
      <c r="AT101" s="81" t="s">
        <v>966</v>
      </c>
      <c r="AU101" s="82" t="s">
        <v>1205</v>
      </c>
      <c r="AV101" s="80" t="s">
        <v>965</v>
      </c>
      <c r="AW101" s="81" t="s">
        <v>966</v>
      </c>
      <c r="AX101" s="82" t="s">
        <v>1205</v>
      </c>
    </row>
    <row r="102" spans="3:50" x14ac:dyDescent="0.25">
      <c r="C102" s="95" t="s">
        <v>967</v>
      </c>
      <c r="D102" s="94"/>
      <c r="E102" s="43"/>
      <c r="F102" s="94"/>
      <c r="G102" s="43"/>
      <c r="H102" s="94"/>
      <c r="I102" s="43"/>
      <c r="J102" s="94"/>
      <c r="K102" s="43"/>
      <c r="L102" s="94"/>
      <c r="M102" s="43"/>
      <c r="N102" s="94"/>
      <c r="O102" s="43"/>
      <c r="P102" s="94"/>
      <c r="Q102" s="43"/>
      <c r="R102" s="86"/>
      <c r="S102" s="35"/>
      <c r="T102" s="87"/>
      <c r="U102" s="86"/>
      <c r="V102" s="35"/>
      <c r="W102" s="87"/>
      <c r="X102" s="86"/>
      <c r="Y102" s="35"/>
      <c r="Z102" s="87"/>
      <c r="AA102" s="86">
        <f>COUNTIFS($AA$6:$AA$62,1,$C$6:$C$62,"Clean Green")</f>
        <v>0</v>
      </c>
      <c r="AB102" s="35">
        <f>COUNTIFS($AB$6:$AB$62,1,$C$6:$C$62,"Clean Green")</f>
        <v>0</v>
      </c>
      <c r="AC102" s="87">
        <f>COUNTIFS($AC$6:$AC$62,1,$C$6:$C$62,"Clean Green")</f>
        <v>0</v>
      </c>
      <c r="AD102" s="86">
        <f>COUNTIFS($AD$6:$AD$62,1,$C$6:$C$62,"Clean Green")</f>
        <v>0</v>
      </c>
      <c r="AE102" s="35">
        <f>COUNTIFS($AE$6:$AE$62,1,$C$6:$C$62,"Clean Green")</f>
        <v>0</v>
      </c>
      <c r="AF102" s="87">
        <f>COUNTIFS($AF$6:$AF$62,1,$C$6:$C$62,"Clean Green")</f>
        <v>0</v>
      </c>
      <c r="AG102" s="86">
        <f>COUNTIFS($AG$6:$AG$62,1,$C$6:$C$62,"Clean Green")</f>
        <v>0</v>
      </c>
      <c r="AH102" s="35">
        <f>COUNTIFS($AH$6:$AH$62,1,$C$6:$C$62,"Clean Green")</f>
        <v>0</v>
      </c>
      <c r="AI102" s="87">
        <f>COUNTIFS($AI$6:$AI$62,1,$C$6:$C$62,"Clean Green")</f>
        <v>0</v>
      </c>
      <c r="AJ102" s="86">
        <f>COUNTIFS(AJ6:AJ62,1,C6:C62,"Clean Green")</f>
        <v>0</v>
      </c>
      <c r="AK102" s="35">
        <f>COUNTIFS(AK6:AK62,1,C6:C62,"Clean Green")</f>
        <v>0</v>
      </c>
      <c r="AL102" s="87">
        <f>COUNTIFS(AL6:AL62,1,C6:C62,"Clean Green")</f>
        <v>0</v>
      </c>
      <c r="AM102" s="86">
        <f>COUNTIFS(AM6:AM62,1,C6:C62,"Clean Green")</f>
        <v>0</v>
      </c>
      <c r="AN102" s="35">
        <f>COUNTIFS(AN6:AN62,1,C6:C62,"Clean Green")</f>
        <v>0</v>
      </c>
      <c r="AO102" s="87">
        <f>COUNTIFS(AO6:AO62,1,C6:C62,"Clean Green")</f>
        <v>0</v>
      </c>
      <c r="AP102" s="86">
        <f>COUNTIFS(AP6:AP62,1,C6:C62,"Clean Green")</f>
        <v>0</v>
      </c>
      <c r="AQ102" s="35">
        <f>COUNTIFS(AQ6:AQ62,1,C6:C62,"Clean Green")</f>
        <v>0</v>
      </c>
      <c r="AR102" s="87">
        <f>COUNTIFS(AR6:AR62,1,C6:C62,"Clean Green")</f>
        <v>0</v>
      </c>
      <c r="AS102" s="86">
        <f>COUNTIFS(AS6:AS62,1,C6:C62,"Clean Green")</f>
        <v>0</v>
      </c>
      <c r="AT102" s="35">
        <f>COUNTIFS(AT6:AT62,1,C6:C62,"Clean Green")</f>
        <v>0</v>
      </c>
      <c r="AU102" s="87">
        <f>COUNTIFS(AU6:AU62,1,C6:C62,"Clean Green")</f>
        <v>0</v>
      </c>
      <c r="AV102" s="86">
        <f>COUNTIFS(AV6:AV62,1,C6:C62,"Clean Green")</f>
        <v>0</v>
      </c>
      <c r="AW102" s="35">
        <f>COUNTIFS(AW6:AW62,1,C6:C62,"Clean Green")</f>
        <v>0</v>
      </c>
      <c r="AX102" s="87">
        <f>COUNTIFS(AX6:AX62,1,C6:C62,"Clean Green")</f>
        <v>0</v>
      </c>
    </row>
    <row r="103" spans="3:50" x14ac:dyDescent="0.25">
      <c r="C103" s="96" t="s">
        <v>968</v>
      </c>
      <c r="D103" s="71"/>
      <c r="E103" s="2"/>
      <c r="F103" s="71"/>
      <c r="G103" s="2"/>
      <c r="H103" s="71"/>
      <c r="I103" s="2"/>
      <c r="J103" s="71"/>
      <c r="K103" s="2"/>
      <c r="L103" s="71"/>
      <c r="M103" s="2"/>
      <c r="N103" s="71"/>
      <c r="O103" s="2"/>
      <c r="P103" s="71"/>
      <c r="Q103" s="2"/>
      <c r="R103" s="86"/>
      <c r="S103" s="35"/>
      <c r="T103" s="87"/>
      <c r="U103" s="86"/>
      <c r="V103" s="35"/>
      <c r="W103" s="87"/>
      <c r="X103" s="86"/>
      <c r="Y103" s="35"/>
      <c r="Z103" s="87"/>
      <c r="AA103" s="86">
        <f>COUNTIFS($AA$6:$AA$62,2,$C$6:$C$62,"Clean Green")</f>
        <v>0</v>
      </c>
      <c r="AB103" s="35">
        <f>COUNTIFS($AB$6:$AB$62,2,$C$6:$C$62,"Clean Green")</f>
        <v>1</v>
      </c>
      <c r="AC103" s="87">
        <f>COUNTIFS($AC$6:$AC$62,2,$C$6:$C$62,"Clean Green")</f>
        <v>0</v>
      </c>
      <c r="AD103" s="86">
        <f>COUNTIFS($AD$6:$AD$62,2,$C$6:$C$62,"Clean Green")</f>
        <v>0</v>
      </c>
      <c r="AE103" s="35">
        <f>COUNTIFS($AE$6:$AE$62,2,$C$6:$C$62,"Clean Green")</f>
        <v>1</v>
      </c>
      <c r="AF103" s="87">
        <f>COUNTIFS($AF$6:$AF$62,2,$C$6:$C$62,"Clean Green")</f>
        <v>0</v>
      </c>
      <c r="AG103" s="86">
        <f>COUNTIFS($AG$6:$AG$62,2,$C$6:$C$62,"Clean Green")</f>
        <v>0</v>
      </c>
      <c r="AH103" s="35">
        <f>COUNTIFS($AH$6:$AH$62,2,$C$6:$C$62,"Clean Green")</f>
        <v>0</v>
      </c>
      <c r="AI103" s="87">
        <f>COUNTIFS($AI$6:$AI$62,2,$C$6:$C$62,"Clean Green")</f>
        <v>0</v>
      </c>
      <c r="AJ103" s="86">
        <f>COUNTIFS(AJ7:AJ63,2,C7:C63,"Clean Green")</f>
        <v>0</v>
      </c>
      <c r="AK103" s="35">
        <f>COUNTIFS(AK7:AK63,2,C7:C63,"Clean Green")</f>
        <v>0</v>
      </c>
      <c r="AL103" s="87">
        <f>COUNTIFS(AL7:AL63,2,C7:C63,"Clean Green")</f>
        <v>0</v>
      </c>
      <c r="AM103" s="86">
        <f>COUNTIFS(AM7:AM63,2,C7:C63,"Clean Green")</f>
        <v>0</v>
      </c>
      <c r="AN103" s="35">
        <f>COUNTIFS(AN7:AN63,2,C7:C63,"Clean Green")</f>
        <v>0</v>
      </c>
      <c r="AO103" s="87">
        <f>COUNTIFS(AO7:AO63,2,C7:C63,"Clean Green")</f>
        <v>0</v>
      </c>
      <c r="AP103" s="86">
        <f>COUNTIFS(AP7:AP63,2,C7:C63,"Clean Green")</f>
        <v>0</v>
      </c>
      <c r="AQ103" s="35">
        <f>COUNTIFS(AQ7:AQ63,2,C7:C63,"Clean Green")</f>
        <v>0</v>
      </c>
      <c r="AR103" s="87">
        <f>COUNTIFS(AR7:AR63,2,C7:C63,"Clean Green")</f>
        <v>0</v>
      </c>
      <c r="AS103" s="86">
        <f>COUNTIFS(AS7:AS63,2,C7:C63,"Clean Green")</f>
        <v>0</v>
      </c>
      <c r="AT103" s="35">
        <f>COUNTIFS(AT7:AT63,2,C7:C63,"Clean Green")</f>
        <v>0</v>
      </c>
      <c r="AU103" s="87">
        <f>COUNTIFS(AU7:AU63,2,C7:C63,"Clean Green")</f>
        <v>0</v>
      </c>
      <c r="AV103" s="86">
        <f>COUNTIFS(AV7:AV63,2,C7:C63,"Clean Green")</f>
        <v>0</v>
      </c>
      <c r="AW103" s="35">
        <f>COUNTIFS(AW7:AW63,2,C7:C63,"Clean Green")</f>
        <v>0</v>
      </c>
      <c r="AX103" s="87">
        <f>COUNTIFS(AX7:AX63,2,C7:C63,"Clean Green")</f>
        <v>0</v>
      </c>
    </row>
    <row r="104" spans="3:50" x14ac:dyDescent="0.25">
      <c r="C104" s="96" t="s">
        <v>969</v>
      </c>
      <c r="D104" s="71"/>
      <c r="E104" s="2"/>
      <c r="F104" s="71"/>
      <c r="G104" s="2"/>
      <c r="H104" s="71"/>
      <c r="I104" s="2"/>
      <c r="J104" s="71"/>
      <c r="K104" s="2"/>
      <c r="L104" s="71"/>
      <c r="M104" s="2"/>
      <c r="N104" s="71"/>
      <c r="O104" s="2"/>
      <c r="P104" s="71"/>
      <c r="Q104" s="2"/>
      <c r="R104" s="86"/>
      <c r="S104" s="35"/>
      <c r="T104" s="87"/>
      <c r="U104" s="86"/>
      <c r="V104" s="35"/>
      <c r="W104" s="87"/>
      <c r="X104" s="86"/>
      <c r="Y104" s="35"/>
      <c r="Z104" s="87"/>
      <c r="AA104" s="86">
        <f>COUNTIFS($AA$6:$AA$62,3,$C$6:$C$62,"Clean Green")</f>
        <v>2</v>
      </c>
      <c r="AB104" s="35">
        <f>COUNTIFS($AB$6:$AB$62,3,$C$6:$C$62,"Clean Green")</f>
        <v>1</v>
      </c>
      <c r="AC104" s="87">
        <f>COUNTIFS($AC$6:$AC$62,3,$C$6:$C$62,"Clean Green")</f>
        <v>0</v>
      </c>
      <c r="AD104" s="86">
        <f>COUNTIFS($AD$6:$AD$62,3,$C$6:$C$62,"Clean Green")</f>
        <v>2</v>
      </c>
      <c r="AE104" s="35">
        <f>COUNTIFS($AE$6:$AE$62,3,$C$6:$C$62,"Clean Green")</f>
        <v>1</v>
      </c>
      <c r="AF104" s="87">
        <f>COUNTIFS($AF$6:$AF$62,3,$C$6:$C$62,"Clean Green")</f>
        <v>0</v>
      </c>
      <c r="AG104" s="86">
        <f>COUNTIFS($AG$6:$AG$62,3,$C$6:$C$62,"Clean Green")</f>
        <v>4</v>
      </c>
      <c r="AH104" s="35">
        <f>COUNTIFS($AH$6:$AH$62,3,$C$6:$C$62,"Clean Green")</f>
        <v>4</v>
      </c>
      <c r="AI104" s="87">
        <f>COUNTIFS($AI$6:$AI$62,3,$C$6:$C$62,"Clean Green")</f>
        <v>0</v>
      </c>
      <c r="AJ104" s="86">
        <f>COUNTIFS(AJ8:AJ64,3,C8:C64,"Clean Green")</f>
        <v>2</v>
      </c>
      <c r="AK104" s="35">
        <f>COUNTIFS(AK8:AK64,3,C8:C64,"Clean Green")</f>
        <v>2</v>
      </c>
      <c r="AL104" s="87">
        <f>COUNTIFS(AL8:AL64,3,C8:C64,"Clean Green")</f>
        <v>0</v>
      </c>
      <c r="AM104" s="86">
        <f>COUNTIFS(AM8:AM64,3,C8:C64,"Clean Green")</f>
        <v>2</v>
      </c>
      <c r="AN104" s="35">
        <f>COUNTIFS(AN8:AN64,3,C8:C64,"Clean Green")</f>
        <v>2</v>
      </c>
      <c r="AO104" s="87">
        <f>COUNTIFS(AO8:AO64,3,C8:C64,"Clean Green")</f>
        <v>0</v>
      </c>
      <c r="AP104" s="86">
        <f>COUNTIFS(AP8:AP64,3,C8:C64,"Clean Green")</f>
        <v>0</v>
      </c>
      <c r="AQ104" s="35">
        <f>COUNTIFS(AQ8:AQ64,3,C8:C64,"Clean Green")</f>
        <v>0</v>
      </c>
      <c r="AR104" s="87">
        <f>COUNTIFS(AR8:AR64,3,C8:C64,"Clean Green")</f>
        <v>0</v>
      </c>
      <c r="AS104" s="86">
        <f>COUNTIFS(AS8:AS64,3,C8:C64,"Clean Green")</f>
        <v>0</v>
      </c>
      <c r="AT104" s="35">
        <f>COUNTIFS(AT8:AT64,3,C8:C64,"Clean Green")</f>
        <v>0</v>
      </c>
      <c r="AU104" s="87">
        <f>COUNTIFS(AU8:AU64,3,C8:C64,"Clean Green")</f>
        <v>0</v>
      </c>
      <c r="AV104" s="86">
        <f>COUNTIFS(AV8:AV64,3,C8:C64,"Clean Green")</f>
        <v>0</v>
      </c>
      <c r="AW104" s="35">
        <f>COUNTIFS(AW8:AW64,3,C8:C64,"Clean Green")</f>
        <v>0</v>
      </c>
      <c r="AX104" s="87">
        <f>COUNTIFS(AX8:AX64,3,C8:C64,"Clean Green")</f>
        <v>0</v>
      </c>
    </row>
    <row r="105" spans="3:50" x14ac:dyDescent="0.25">
      <c r="C105" s="96" t="s">
        <v>970</v>
      </c>
      <c r="D105" s="71"/>
      <c r="E105" s="2"/>
      <c r="F105" s="71"/>
      <c r="G105" s="2"/>
      <c r="H105" s="71"/>
      <c r="I105" s="2"/>
      <c r="J105" s="71"/>
      <c r="K105" s="2"/>
      <c r="L105" s="71"/>
      <c r="M105" s="2"/>
      <c r="N105" s="71"/>
      <c r="O105" s="2"/>
      <c r="P105" s="71"/>
      <c r="Q105" s="2"/>
      <c r="R105" s="86"/>
      <c r="S105" s="35"/>
      <c r="T105" s="87"/>
      <c r="U105" s="86"/>
      <c r="V105" s="35"/>
      <c r="W105" s="87"/>
      <c r="X105" s="86"/>
      <c r="Y105" s="35"/>
      <c r="Z105" s="87"/>
      <c r="AA105" s="86">
        <f>COUNTIFS($AA$6:$AA$62,4,$C$6:$C$62,"Clean Green")</f>
        <v>0</v>
      </c>
      <c r="AB105" s="35">
        <f>COUNTIFS($AB$6:$AB$62,4,$C$6:$C$62,"Clean Green")</f>
        <v>0</v>
      </c>
      <c r="AC105" s="87">
        <f>COUNTIFS($AC$6:$AC$62,4,$C$6:$C$62,"Clean Green")</f>
        <v>0</v>
      </c>
      <c r="AD105" s="86">
        <f>COUNTIFS($AD$6:$AD$62,4,$C$6:$C$62,"Clean Green")</f>
        <v>0</v>
      </c>
      <c r="AE105" s="35">
        <f>COUNTIFS($AE$6:$AE$62,4,$C$6:$C$62,"Clean Green")</f>
        <v>0</v>
      </c>
      <c r="AF105" s="87">
        <f>COUNTIFS($AF$6:$AF$62,4,$C$6:$C$62,"Clean Green")</f>
        <v>0</v>
      </c>
      <c r="AG105" s="86">
        <f>COUNTIFS($AG$6:$AG$62,4,$C$6:$C$62,"Clean Green")</f>
        <v>0</v>
      </c>
      <c r="AH105" s="35">
        <f>COUNTIFS($AH$6:$AH$62,4,$C$6:$C$62,"Clean Green")</f>
        <v>0</v>
      </c>
      <c r="AI105" s="87">
        <f>COUNTIFS($AI$6:$AI$62,4,$C$6:$C$62,"Clean Green")</f>
        <v>0</v>
      </c>
      <c r="AJ105" s="86">
        <f>COUNTIFS(AJ9:AJ65,4,C9:C65,"Clean Green")</f>
        <v>0</v>
      </c>
      <c r="AK105" s="35">
        <f>COUNTIFS(AK9:AK65,4,C9:C65,"Clean Green")</f>
        <v>0</v>
      </c>
      <c r="AL105" s="87">
        <f>COUNTIFS(AL9:AL65,4,C9:C65,"Clean Green")</f>
        <v>0</v>
      </c>
      <c r="AM105" s="86">
        <f>COUNTIFS(AM9:AM65,4,C9:C65,"Clean Green")</f>
        <v>0</v>
      </c>
      <c r="AN105" s="35">
        <f>COUNTIFS(AN9:AN65,4,C9:C65,"Clean Green")</f>
        <v>0</v>
      </c>
      <c r="AO105" s="87">
        <f>COUNTIFS(AO9:AO65,4,C9:C65,"Clean Green")</f>
        <v>0</v>
      </c>
      <c r="AP105" s="86">
        <f>COUNTIFS(AP9:AP65,4,C9:C65,"Clean Green")</f>
        <v>0</v>
      </c>
      <c r="AQ105" s="35">
        <f>COUNTIFS(AQ9:AQ65,4,C9:C65,"Clean Green")</f>
        <v>0</v>
      </c>
      <c r="AR105" s="87">
        <f>COUNTIFS(AR9:AR65,4,C9:C65,"Clean Green")</f>
        <v>0</v>
      </c>
      <c r="AS105" s="86">
        <f>COUNTIFS(AS9:AS65,4,C9:C65,"Clean Green")</f>
        <v>0</v>
      </c>
      <c r="AT105" s="35">
        <f>COUNTIFS(AT9:AT65,4,C9:C65,"Clean Green")</f>
        <v>0</v>
      </c>
      <c r="AU105" s="87">
        <f>COUNTIFS(AU9:AU65,4,C9:C65,"Clean Green")</f>
        <v>0</v>
      </c>
      <c r="AV105" s="86">
        <f>COUNTIFS(AV9:AV65,4,C9:C65,"Clean Green")</f>
        <v>0</v>
      </c>
      <c r="AW105" s="35">
        <f>COUNTIFS(AW9:AW65,4,C9:C65,"Clean Green")</f>
        <v>0</v>
      </c>
      <c r="AX105" s="87">
        <f>COUNTIFS(AX9:AX65,4,C9:C65,"Clean Green")</f>
        <v>0</v>
      </c>
    </row>
    <row r="106" spans="3:50" x14ac:dyDescent="0.25">
      <c r="C106" s="96" t="s">
        <v>971</v>
      </c>
      <c r="D106" s="71"/>
      <c r="E106" s="2"/>
      <c r="F106" s="71"/>
      <c r="G106" s="2"/>
      <c r="H106" s="71"/>
      <c r="I106" s="2"/>
      <c r="J106" s="71"/>
      <c r="K106" s="2"/>
      <c r="L106" s="71"/>
      <c r="M106" s="2"/>
      <c r="N106" s="71"/>
      <c r="O106" s="2"/>
      <c r="P106" s="71"/>
      <c r="Q106" s="2"/>
      <c r="R106" s="86">
        <v>5</v>
      </c>
      <c r="S106" s="86">
        <v>5</v>
      </c>
      <c r="T106" s="86">
        <v>5</v>
      </c>
      <c r="U106" s="86">
        <v>5</v>
      </c>
      <c r="V106" s="86">
        <v>5</v>
      </c>
      <c r="W106" s="86">
        <v>5</v>
      </c>
      <c r="X106" s="86">
        <v>5</v>
      </c>
      <c r="Y106" s="86">
        <v>5</v>
      </c>
      <c r="Z106" s="86">
        <v>5</v>
      </c>
      <c r="AA106" s="86">
        <v>5</v>
      </c>
      <c r="AB106" s="86">
        <v>5</v>
      </c>
      <c r="AC106" s="86">
        <v>5</v>
      </c>
      <c r="AD106" s="86">
        <v>5</v>
      </c>
      <c r="AE106" s="86">
        <v>5</v>
      </c>
      <c r="AF106" s="86">
        <v>5</v>
      </c>
      <c r="AG106" s="86">
        <v>5</v>
      </c>
      <c r="AH106" s="86">
        <v>5</v>
      </c>
      <c r="AI106" s="86">
        <v>5</v>
      </c>
      <c r="AJ106" s="86">
        <v>5</v>
      </c>
      <c r="AK106" s="86">
        <v>5</v>
      </c>
      <c r="AL106" s="86">
        <v>5</v>
      </c>
      <c r="AM106" s="86">
        <v>5</v>
      </c>
      <c r="AN106" s="86">
        <v>5</v>
      </c>
      <c r="AO106" s="86">
        <v>5</v>
      </c>
      <c r="AP106" s="86">
        <v>5</v>
      </c>
      <c r="AQ106" s="86">
        <v>5</v>
      </c>
      <c r="AR106" s="86">
        <v>5</v>
      </c>
      <c r="AS106" s="86">
        <v>5</v>
      </c>
      <c r="AT106" s="86">
        <v>5</v>
      </c>
      <c r="AU106" s="86">
        <v>5</v>
      </c>
      <c r="AV106" s="86">
        <v>5</v>
      </c>
      <c r="AW106" s="86">
        <v>5</v>
      </c>
      <c r="AX106" s="86">
        <v>5</v>
      </c>
    </row>
    <row r="107" spans="3:50" x14ac:dyDescent="0.25">
      <c r="C107" s="95" t="s">
        <v>1276</v>
      </c>
      <c r="D107" s="71"/>
      <c r="E107" s="2"/>
      <c r="F107" s="71"/>
      <c r="G107" s="2"/>
      <c r="H107" s="71"/>
      <c r="I107" s="2"/>
      <c r="J107" s="71"/>
      <c r="K107" s="2"/>
      <c r="L107" s="71"/>
      <c r="M107" s="2"/>
      <c r="N107" s="71"/>
      <c r="O107" s="2"/>
      <c r="P107" s="71"/>
      <c r="Q107" s="2"/>
      <c r="R107" s="86"/>
      <c r="S107" s="35"/>
      <c r="T107" s="87"/>
      <c r="U107" s="86"/>
      <c r="V107" s="35"/>
      <c r="W107" s="87"/>
      <c r="X107" s="86"/>
      <c r="Y107" s="35"/>
      <c r="Z107" s="87"/>
      <c r="AA107" s="86"/>
      <c r="AB107" s="35"/>
      <c r="AC107" s="87"/>
      <c r="AD107" s="86"/>
      <c r="AE107" s="35"/>
      <c r="AF107" s="87"/>
      <c r="AG107" s="86"/>
      <c r="AH107" s="35"/>
      <c r="AI107" s="87"/>
      <c r="AJ107" s="86"/>
      <c r="AK107" s="35"/>
      <c r="AL107" s="87"/>
      <c r="AM107" s="86"/>
      <c r="AN107" s="35"/>
      <c r="AO107" s="87"/>
      <c r="AP107" s="86"/>
      <c r="AQ107" s="35"/>
      <c r="AR107" s="87"/>
      <c r="AS107" s="86"/>
      <c r="AT107" s="35"/>
      <c r="AU107" s="87"/>
      <c r="AV107" s="86"/>
      <c r="AW107" s="35"/>
      <c r="AX107" s="87"/>
    </row>
    <row r="108" spans="3:50" ht="15.75" customHeight="1" x14ac:dyDescent="0.25">
      <c r="C108" s="95" t="s">
        <v>973</v>
      </c>
      <c r="D108" s="71"/>
      <c r="E108" s="2"/>
      <c r="F108" s="71"/>
      <c r="G108" s="2"/>
      <c r="H108" s="71"/>
      <c r="I108" s="2"/>
      <c r="J108" s="71"/>
      <c r="K108" s="2"/>
      <c r="L108" s="71"/>
      <c r="M108" s="2"/>
      <c r="N108" s="71"/>
      <c r="O108" s="2"/>
      <c r="P108" s="71"/>
      <c r="Q108" s="2"/>
      <c r="R108" s="86"/>
      <c r="S108" s="35"/>
      <c r="T108" s="87"/>
      <c r="U108" s="86"/>
      <c r="V108" s="35"/>
      <c r="W108" s="87"/>
      <c r="X108" s="86"/>
      <c r="Y108" s="35"/>
      <c r="Z108" s="87"/>
      <c r="AA108" s="86">
        <f>COUNTIFS($AA$6:$AA$62,#N/A,$C$6:$C$62,"Clean Green")</f>
        <v>3</v>
      </c>
      <c r="AB108" s="35">
        <f>COUNTIFS($AB$6:$AB$62,#N/A,$C$6:$C$62,"Clean Green")</f>
        <v>3</v>
      </c>
      <c r="AC108" s="87">
        <f>COUNTIFS($AC$6:$AC$62,#N/A,$C$6:$C$62,"Clean Green")</f>
        <v>0</v>
      </c>
      <c r="AD108" s="86">
        <f>COUNTIFS($AD$6:$AD$62,#N/A,$C$6:$C$62,"Clean Green")</f>
        <v>3</v>
      </c>
      <c r="AE108" s="35">
        <f>COUNTIFS($AE$6:$AE$62,#N/A,$C$6:$C$62,"Clean Green")</f>
        <v>3</v>
      </c>
      <c r="AF108" s="87">
        <f>COUNTIFS($AF$6:$AF$62,#N/A,$C$6:$C$62,"Clean Green")</f>
        <v>0</v>
      </c>
      <c r="AG108" s="86">
        <f>COUNTIFS($AG$6:$AG$62,#N/A,$C$6:$C$62,"Clean Green")</f>
        <v>1</v>
      </c>
      <c r="AH108" s="35">
        <f>COUNTIFS($AH$6:$AH$62,#N/A,$C$6:$C$62,"Clean Green")</f>
        <v>1</v>
      </c>
      <c r="AI108" s="87">
        <f>COUNTIFS($AI$6:$AI$62,#N/A,$C$6:$C$62,"Clean Green")</f>
        <v>0</v>
      </c>
      <c r="AJ108" s="86">
        <f>COUNTIFS(AJ6:AJ62,#N/A,C6:C62,"CleanGreen")</f>
        <v>0</v>
      </c>
      <c r="AK108" s="35">
        <f>COUNTIFS(AK6:AK62,#N/A,C6:C62,"Clean Green")</f>
        <v>3</v>
      </c>
      <c r="AL108" s="87">
        <f>COUNTIFS(AL6:AL62,#N/A,C6:C62,"Clean Green")</f>
        <v>0</v>
      </c>
      <c r="AM108" s="86">
        <f>COUNTIFS(AM6:AM62,#N/A,C6:C62,"Clean Green")</f>
        <v>3</v>
      </c>
      <c r="AN108" s="35">
        <f>COUNTIFS(AN6:AN62,#N/A,C6:C62,"Clean Green")</f>
        <v>3</v>
      </c>
      <c r="AO108" s="87">
        <f>COUNTIFS(AO6:AO62,#N/A,C6:C62,"Clean Green")</f>
        <v>0</v>
      </c>
      <c r="AP108" s="86">
        <f>COUNTIFS(AP6:AP62,#N/A,C6:C62,"Clean Green")</f>
        <v>0</v>
      </c>
      <c r="AQ108" s="35">
        <f>COUNTIFS(AQ6:AQ62,#N/A,C6:C62,"Clean Green")</f>
        <v>0</v>
      </c>
      <c r="AR108" s="87">
        <f>COUNTIFS(AR6:AR62,#N/A,C6:C62,"Clean Green")</f>
        <v>0</v>
      </c>
      <c r="AS108" s="86">
        <f>COUNTIFS(AS6:AS62,#N/A,C6:C62,"Clean Green")</f>
        <v>0</v>
      </c>
      <c r="AT108" s="35">
        <f>COUNTIFS(AT6:AT62,#N/A,C6:C62,"Clean Green")</f>
        <v>0</v>
      </c>
      <c r="AU108" s="87">
        <f>COUNTIFS(AU6:AU62,#N/A,C6:C62,"Clean Green")</f>
        <v>0</v>
      </c>
      <c r="AV108" s="86">
        <f>COUNTIFS(AV6:AV62,#N/A,C6:C62,"Clean Green")</f>
        <v>0</v>
      </c>
      <c r="AW108" s="35">
        <f>COUNTIFS(AW6:AW62,#N/A,C6:C62,"Clean Green")</f>
        <v>0</v>
      </c>
      <c r="AX108" s="87">
        <f>COUNTIFS(AX6:AX62,#N/A,C6:C62,"Clean Green")</f>
        <v>0</v>
      </c>
    </row>
    <row r="109" spans="3:50" ht="24" customHeight="1" x14ac:dyDescent="0.25">
      <c r="C109" s="99" t="s">
        <v>974</v>
      </c>
      <c r="D109" s="71"/>
      <c r="E109" s="2"/>
      <c r="F109" s="71"/>
      <c r="G109" s="2"/>
      <c r="H109" s="71"/>
      <c r="I109" s="2"/>
      <c r="J109" s="71"/>
      <c r="K109" s="2"/>
      <c r="L109" s="71"/>
      <c r="M109" s="2"/>
      <c r="N109" s="71"/>
      <c r="O109" s="2"/>
      <c r="P109" s="71"/>
      <c r="Q109" s="2"/>
      <c r="R109" s="86"/>
      <c r="S109" s="35"/>
      <c r="T109" s="87"/>
      <c r="U109" s="86"/>
      <c r="V109" s="35"/>
      <c r="W109" s="87"/>
      <c r="X109" s="86"/>
      <c r="Y109" s="35"/>
      <c r="Z109" s="87"/>
      <c r="AA109" s="86">
        <f t="shared" ref="AA109:AI109" si="18">SUM(AA102:AA105)</f>
        <v>2</v>
      </c>
      <c r="AB109" s="35">
        <f t="shared" si="18"/>
        <v>2</v>
      </c>
      <c r="AC109" s="87">
        <f t="shared" si="18"/>
        <v>0</v>
      </c>
      <c r="AD109" s="86">
        <f t="shared" si="18"/>
        <v>2</v>
      </c>
      <c r="AE109" s="35">
        <f t="shared" si="18"/>
        <v>2</v>
      </c>
      <c r="AF109" s="87">
        <f t="shared" si="18"/>
        <v>0</v>
      </c>
      <c r="AG109" s="86">
        <f t="shared" si="18"/>
        <v>4</v>
      </c>
      <c r="AH109" s="35">
        <f t="shared" si="18"/>
        <v>4</v>
      </c>
      <c r="AI109" s="87">
        <f t="shared" si="18"/>
        <v>0</v>
      </c>
      <c r="AJ109" s="86">
        <f>SUM(AJ102:AJ105)</f>
        <v>2</v>
      </c>
      <c r="AK109" s="35">
        <f>SUM(AK102:AK105)</f>
        <v>2</v>
      </c>
      <c r="AL109" s="87">
        <f>SUM(AL102:AL105)</f>
        <v>0</v>
      </c>
      <c r="AM109" s="86">
        <f>SUM(AM102:AM105)</f>
        <v>2</v>
      </c>
      <c r="AN109" s="35">
        <f t="shared" ref="AN109:AV109" si="19">SUM(AN102:AN105)</f>
        <v>2</v>
      </c>
      <c r="AO109" s="87">
        <f t="shared" si="19"/>
        <v>0</v>
      </c>
      <c r="AP109" s="86">
        <f t="shared" si="19"/>
        <v>0</v>
      </c>
      <c r="AQ109" s="35">
        <f t="shared" si="19"/>
        <v>0</v>
      </c>
      <c r="AR109" s="87">
        <f t="shared" si="19"/>
        <v>0</v>
      </c>
      <c r="AS109" s="86">
        <f t="shared" si="19"/>
        <v>0</v>
      </c>
      <c r="AT109" s="35">
        <f t="shared" si="19"/>
        <v>0</v>
      </c>
      <c r="AU109" s="87">
        <f t="shared" si="19"/>
        <v>0</v>
      </c>
      <c r="AV109" s="86">
        <f t="shared" si="19"/>
        <v>0</v>
      </c>
      <c r="AW109" s="35">
        <f>-SUM(AW102:AW105)</f>
        <v>0</v>
      </c>
      <c r="AX109" s="87">
        <f>SUM(AX102:AX105)</f>
        <v>0</v>
      </c>
    </row>
    <row r="110" spans="3:50" ht="21.75" customHeight="1" x14ac:dyDescent="0.25">
      <c r="C110" s="96" t="s">
        <v>975</v>
      </c>
      <c r="D110" s="71"/>
      <c r="E110" s="2"/>
      <c r="F110" s="71"/>
      <c r="G110" s="2"/>
      <c r="H110" s="71"/>
      <c r="I110" s="2"/>
      <c r="J110" s="71"/>
      <c r="K110" s="2"/>
      <c r="L110" s="71"/>
      <c r="M110" s="2"/>
      <c r="N110" s="71"/>
      <c r="O110" s="2"/>
      <c r="P110" s="71"/>
      <c r="Q110" s="2"/>
      <c r="R110" s="116"/>
      <c r="S110" s="116"/>
      <c r="T110" s="91"/>
      <c r="U110" s="116"/>
      <c r="V110" s="116"/>
      <c r="W110" s="91"/>
      <c r="X110" s="116"/>
      <c r="Y110" s="116"/>
      <c r="Z110" s="91"/>
      <c r="AA110" s="116">
        <f t="shared" ref="AA110:AX110" si="20">SUM(AA104:AA105)/SUM(AA102:AA105)</f>
        <v>1</v>
      </c>
      <c r="AB110" s="116">
        <f t="shared" si="20"/>
        <v>0.5</v>
      </c>
      <c r="AC110" s="91" t="e">
        <f t="shared" si="20"/>
        <v>#DIV/0!</v>
      </c>
      <c r="AD110" s="116">
        <f t="shared" si="20"/>
        <v>1</v>
      </c>
      <c r="AE110" s="116">
        <f t="shared" si="20"/>
        <v>0.5</v>
      </c>
      <c r="AF110" s="91" t="e">
        <f t="shared" si="20"/>
        <v>#DIV/0!</v>
      </c>
      <c r="AG110" s="116">
        <f t="shared" si="20"/>
        <v>1</v>
      </c>
      <c r="AH110" s="116">
        <f t="shared" si="20"/>
        <v>1</v>
      </c>
      <c r="AI110" s="91" t="e">
        <f t="shared" si="20"/>
        <v>#DIV/0!</v>
      </c>
      <c r="AJ110" s="116">
        <f t="shared" si="20"/>
        <v>1</v>
      </c>
      <c r="AK110" s="116">
        <f t="shared" si="20"/>
        <v>1</v>
      </c>
      <c r="AL110" s="91" t="e">
        <f t="shared" si="20"/>
        <v>#DIV/0!</v>
      </c>
      <c r="AM110" s="116">
        <f t="shared" si="20"/>
        <v>1</v>
      </c>
      <c r="AN110" s="116">
        <f t="shared" si="20"/>
        <v>1</v>
      </c>
      <c r="AO110" s="91" t="e">
        <f t="shared" si="20"/>
        <v>#DIV/0!</v>
      </c>
      <c r="AP110" s="116" t="e">
        <f t="shared" si="20"/>
        <v>#DIV/0!</v>
      </c>
      <c r="AQ110" s="116" t="e">
        <f t="shared" si="20"/>
        <v>#DIV/0!</v>
      </c>
      <c r="AR110" s="91" t="e">
        <f t="shared" si="20"/>
        <v>#DIV/0!</v>
      </c>
      <c r="AS110" s="116" t="e">
        <f t="shared" si="20"/>
        <v>#DIV/0!</v>
      </c>
      <c r="AT110" s="116" t="e">
        <f t="shared" si="20"/>
        <v>#DIV/0!</v>
      </c>
      <c r="AU110" s="91" t="e">
        <f t="shared" si="20"/>
        <v>#DIV/0!</v>
      </c>
      <c r="AV110" s="116" t="e">
        <f t="shared" si="20"/>
        <v>#DIV/0!</v>
      </c>
      <c r="AW110" s="116" t="e">
        <f t="shared" si="20"/>
        <v>#DIV/0!</v>
      </c>
      <c r="AX110" s="91" t="e">
        <f t="shared" si="20"/>
        <v>#DIV/0!</v>
      </c>
    </row>
  </sheetData>
  <autoFilter ref="A5:AX5" xr:uid="{00000000-0009-0000-0000-00000E000000}"/>
  <mergeCells count="79">
    <mergeCell ref="J4:K4"/>
    <mergeCell ref="P4:Q4"/>
    <mergeCell ref="R4:T4"/>
    <mergeCell ref="X100:Z100"/>
    <mergeCell ref="AA100:AC100"/>
    <mergeCell ref="L4:M4"/>
    <mergeCell ref="N4:O4"/>
    <mergeCell ref="R88:T88"/>
    <mergeCell ref="U88:W88"/>
    <mergeCell ref="X88:Z88"/>
    <mergeCell ref="AA88:AC88"/>
    <mergeCell ref="P76:Q76"/>
    <mergeCell ref="R64:T64"/>
    <mergeCell ref="AA76:AC76"/>
    <mergeCell ref="X76:Z76"/>
    <mergeCell ref="R100:T100"/>
    <mergeCell ref="A3:C3"/>
    <mergeCell ref="A4:C4"/>
    <mergeCell ref="D4:E4"/>
    <mergeCell ref="F4:G4"/>
    <mergeCell ref="H4:I4"/>
    <mergeCell ref="U100:W100"/>
    <mergeCell ref="N76:O76"/>
    <mergeCell ref="AY4:AY5"/>
    <mergeCell ref="D64:E64"/>
    <mergeCell ref="F64:G64"/>
    <mergeCell ref="H64:I64"/>
    <mergeCell ref="J64:K64"/>
    <mergeCell ref="L64:M64"/>
    <mergeCell ref="N64:O64"/>
    <mergeCell ref="U64:W64"/>
    <mergeCell ref="X64:Z64"/>
    <mergeCell ref="AA64:AC64"/>
    <mergeCell ref="P64:Q64"/>
    <mergeCell ref="U4:W4"/>
    <mergeCell ref="U76:W76"/>
    <mergeCell ref="AA4:AB4"/>
    <mergeCell ref="R76:T76"/>
    <mergeCell ref="D76:E76"/>
    <mergeCell ref="F76:G76"/>
    <mergeCell ref="H76:I76"/>
    <mergeCell ref="J76:K76"/>
    <mergeCell ref="L76:M76"/>
    <mergeCell ref="X4:Z4"/>
    <mergeCell ref="AM4:AO4"/>
    <mergeCell ref="AM64:AO64"/>
    <mergeCell ref="AM76:AO76"/>
    <mergeCell ref="AM88:AO88"/>
    <mergeCell ref="AD88:AF88"/>
    <mergeCell ref="AM100:AO100"/>
    <mergeCell ref="AD4:AF4"/>
    <mergeCell ref="AG4:AI4"/>
    <mergeCell ref="AG64:AI64"/>
    <mergeCell ref="AG76:AI76"/>
    <mergeCell ref="AG88:AI88"/>
    <mergeCell ref="AD64:AF64"/>
    <mergeCell ref="AD100:AF100"/>
    <mergeCell ref="AD76:AF76"/>
    <mergeCell ref="AG100:AI100"/>
    <mergeCell ref="AJ4:AL4"/>
    <mergeCell ref="AJ64:AL64"/>
    <mergeCell ref="AJ76:AL76"/>
    <mergeCell ref="AJ88:AL88"/>
    <mergeCell ref="AJ100:AL100"/>
    <mergeCell ref="AS4:AU4"/>
    <mergeCell ref="AS64:AU64"/>
    <mergeCell ref="AS76:AU76"/>
    <mergeCell ref="AS88:AU88"/>
    <mergeCell ref="AS100:AU100"/>
    <mergeCell ref="AP4:AR4"/>
    <mergeCell ref="AP64:AR64"/>
    <mergeCell ref="AP76:AR76"/>
    <mergeCell ref="AP88:AR88"/>
    <mergeCell ref="AP100:AR100"/>
    <mergeCell ref="AV4:AX4"/>
    <mergeCell ref="AV64:AX64"/>
    <mergeCell ref="AV76:AX76"/>
    <mergeCell ref="AV88:AX88"/>
    <mergeCell ref="AV100:AX100"/>
  </mergeCells>
  <pageMargins left="0.7" right="0.7" top="0.75" bottom="0.75" header="0.3" footer="0.3"/>
  <pageSetup paperSize="8" scale="38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C93"/>
  <sheetViews>
    <sheetView topLeftCell="AD1" zoomScaleNormal="100" zoomScaleSheetLayoutView="98" workbookViewId="0">
      <selection sqref="A1:AC65536"/>
    </sheetView>
  </sheetViews>
  <sheetFormatPr defaultRowHeight="15" x14ac:dyDescent="0.25"/>
  <cols>
    <col min="1" max="1" width="27" hidden="1" customWidth="1"/>
    <col min="2" max="2" width="14.140625" hidden="1" customWidth="1"/>
    <col min="3" max="3" width="13.85546875" hidden="1" customWidth="1"/>
    <col min="4" max="4" width="0" style="49" hidden="1" customWidth="1"/>
    <col min="5" max="6" width="0" hidden="1" customWidth="1"/>
    <col min="7" max="15" width="9.140625" style="49" hidden="1" customWidth="1"/>
    <col min="16" max="16" width="8" style="49" hidden="1" customWidth="1"/>
    <col min="17" max="17" width="9.140625" style="49" hidden="1" customWidth="1"/>
    <col min="18" max="18" width="8" style="49" hidden="1" customWidth="1"/>
    <col min="19" max="19" width="9.140625" style="49" hidden="1" customWidth="1"/>
    <col min="20" max="20" width="8" style="49" hidden="1" customWidth="1"/>
    <col min="21" max="21" width="9.140625" style="49" hidden="1" customWidth="1"/>
    <col min="22" max="22" width="8" style="49" hidden="1" customWidth="1"/>
    <col min="23" max="23" width="9.140625" style="49" hidden="1" customWidth="1"/>
    <col min="24" max="24" width="8" style="49" hidden="1" customWidth="1"/>
    <col min="25" max="25" width="9.140625" style="49" hidden="1" customWidth="1"/>
    <col min="26" max="26" width="8" style="49" hidden="1" customWidth="1"/>
    <col min="27" max="27" width="9.140625" style="49" hidden="1" customWidth="1"/>
    <col min="28" max="28" width="8" style="49" hidden="1" customWidth="1"/>
    <col min="29" max="29" width="27.140625" hidden="1" customWidth="1"/>
  </cols>
  <sheetData>
    <row r="1" spans="1:29" x14ac:dyDescent="0.25">
      <c r="A1" s="102"/>
      <c r="B1" s="102"/>
      <c r="C1" s="102"/>
      <c r="D1" s="103"/>
      <c r="E1" s="102"/>
      <c r="F1" s="102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4"/>
    </row>
    <row r="2" spans="1:29" x14ac:dyDescent="0.25">
      <c r="A2" s="102"/>
      <c r="B2" s="102"/>
      <c r="C2" s="102"/>
      <c r="D2" s="103"/>
      <c r="E2" s="102"/>
      <c r="F2" s="102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4"/>
    </row>
    <row r="3" spans="1:29" ht="15.75" x14ac:dyDescent="0.25">
      <c r="A3" s="559" t="s">
        <v>1277</v>
      </c>
      <c r="B3" s="559"/>
      <c r="C3" s="559"/>
      <c r="D3" s="103"/>
      <c r="E3" s="102"/>
      <c r="F3" s="102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4"/>
    </row>
    <row r="4" spans="1:29" ht="15.75" x14ac:dyDescent="0.25">
      <c r="A4" s="558" t="s">
        <v>12</v>
      </c>
      <c r="B4" s="558"/>
      <c r="C4" s="55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551" t="s">
        <v>1203</v>
      </c>
    </row>
    <row r="5" spans="1:29" x14ac:dyDescent="0.25">
      <c r="A5" s="20" t="s">
        <v>46</v>
      </c>
      <c r="B5" s="20" t="s">
        <v>1204</v>
      </c>
      <c r="C5" s="19" t="s">
        <v>47</v>
      </c>
      <c r="D5" s="19" t="s">
        <v>955</v>
      </c>
      <c r="E5" s="59" t="s">
        <v>956</v>
      </c>
      <c r="F5" s="59" t="s">
        <v>956</v>
      </c>
      <c r="G5" s="59" t="s">
        <v>961</v>
      </c>
      <c r="H5" s="59" t="s">
        <v>1278</v>
      </c>
      <c r="I5" s="59" t="s">
        <v>962</v>
      </c>
      <c r="J5" s="59" t="s">
        <v>1279</v>
      </c>
      <c r="K5" s="59" t="s">
        <v>963</v>
      </c>
      <c r="L5" s="59" t="s">
        <v>1280</v>
      </c>
      <c r="M5" s="59" t="s">
        <v>964</v>
      </c>
      <c r="N5" s="59" t="s">
        <v>1281</v>
      </c>
      <c r="O5" s="59" t="s">
        <v>954</v>
      </c>
      <c r="P5" s="59" t="s">
        <v>1282</v>
      </c>
      <c r="Q5" s="59" t="s">
        <v>955</v>
      </c>
      <c r="R5" s="59" t="s">
        <v>1283</v>
      </c>
      <c r="S5" s="59" t="s">
        <v>956</v>
      </c>
      <c r="T5" s="59" t="s">
        <v>1284</v>
      </c>
      <c r="U5" s="59" t="s">
        <v>957</v>
      </c>
      <c r="V5" s="59" t="s">
        <v>1285</v>
      </c>
      <c r="W5" s="59" t="s">
        <v>1286</v>
      </c>
      <c r="X5" s="59" t="s">
        <v>1287</v>
      </c>
      <c r="Y5" s="59" t="s">
        <v>959</v>
      </c>
      <c r="Z5" s="59" t="s">
        <v>1288</v>
      </c>
      <c r="AA5" s="59" t="s">
        <v>1289</v>
      </c>
      <c r="AB5" s="59" t="s">
        <v>1290</v>
      </c>
      <c r="AC5" s="552"/>
    </row>
    <row r="6" spans="1:29" x14ac:dyDescent="0.25">
      <c r="A6" s="70" t="s">
        <v>1206</v>
      </c>
      <c r="B6" s="70" t="s">
        <v>1291</v>
      </c>
      <c r="C6" s="2" t="s">
        <v>1292</v>
      </c>
      <c r="D6" s="60">
        <v>4</v>
      </c>
      <c r="E6" s="105"/>
      <c r="F6" s="105"/>
      <c r="G6" s="106" t="e">
        <v>#N/A</v>
      </c>
      <c r="H6" s="122"/>
      <c r="I6" s="107">
        <v>4</v>
      </c>
      <c r="J6" s="121"/>
      <c r="K6" s="107">
        <v>2</v>
      </c>
      <c r="L6" s="121"/>
      <c r="M6" s="107">
        <v>2</v>
      </c>
      <c r="N6" s="121"/>
      <c r="O6" s="107">
        <v>4</v>
      </c>
      <c r="P6" s="121"/>
      <c r="Q6" s="107">
        <v>4</v>
      </c>
      <c r="R6" s="121"/>
      <c r="S6" s="107">
        <v>4</v>
      </c>
      <c r="T6" s="121"/>
      <c r="U6" s="107" t="e">
        <f>VLOOKUP(A6,,2,FALSE)</f>
        <v>#N/A</v>
      </c>
      <c r="V6" s="121"/>
      <c r="W6" s="107"/>
      <c r="X6" s="121"/>
      <c r="Y6" s="107"/>
      <c r="Z6" s="121"/>
      <c r="AA6" s="107"/>
      <c r="AB6" s="121"/>
      <c r="AC6" s="2" t="s">
        <v>1209</v>
      </c>
    </row>
    <row r="7" spans="1:29" x14ac:dyDescent="0.25">
      <c r="A7" s="75" t="s">
        <v>1210</v>
      </c>
      <c r="B7" s="75" t="s">
        <v>1291</v>
      </c>
      <c r="C7" s="2" t="s">
        <v>1292</v>
      </c>
      <c r="D7" s="60" t="s">
        <v>174</v>
      </c>
      <c r="E7" s="105"/>
      <c r="F7" s="105"/>
      <c r="G7" s="107">
        <v>3</v>
      </c>
      <c r="H7" s="121"/>
      <c r="I7" s="107">
        <v>3</v>
      </c>
      <c r="J7" s="121"/>
      <c r="K7" s="107">
        <v>3</v>
      </c>
      <c r="L7" s="121"/>
      <c r="M7" s="107">
        <v>3</v>
      </c>
      <c r="N7" s="121"/>
      <c r="O7" s="107">
        <v>3</v>
      </c>
      <c r="P7" s="121"/>
      <c r="Q7" s="107">
        <v>4</v>
      </c>
      <c r="R7" s="121"/>
      <c r="S7" s="107">
        <v>4</v>
      </c>
      <c r="T7" s="121"/>
      <c r="U7" s="107" t="e">
        <v>#N/A</v>
      </c>
      <c r="V7" s="121"/>
      <c r="W7" s="107"/>
      <c r="X7" s="121"/>
      <c r="Y7" s="107"/>
      <c r="Z7" s="121"/>
      <c r="AA7" s="107"/>
      <c r="AB7" s="121"/>
      <c r="AC7" s="2" t="s">
        <v>1212</v>
      </c>
    </row>
    <row r="8" spans="1:29" x14ac:dyDescent="0.25">
      <c r="A8" s="2" t="s">
        <v>84</v>
      </c>
      <c r="B8" s="2" t="s">
        <v>1291</v>
      </c>
      <c r="C8" s="2" t="s">
        <v>1292</v>
      </c>
      <c r="D8" s="60">
        <v>3</v>
      </c>
      <c r="E8" s="105"/>
      <c r="F8" s="105"/>
      <c r="G8" s="106" t="e">
        <v>#N/A</v>
      </c>
      <c r="H8" s="122"/>
      <c r="I8" s="107">
        <v>3</v>
      </c>
      <c r="J8" s="121"/>
      <c r="K8" s="107">
        <v>3</v>
      </c>
      <c r="L8" s="122"/>
      <c r="M8" s="106" t="e">
        <v>#N/A</v>
      </c>
      <c r="N8" s="123"/>
      <c r="O8" s="107">
        <v>3</v>
      </c>
      <c r="P8" s="123"/>
      <c r="Q8" s="107">
        <v>3</v>
      </c>
      <c r="R8" s="123"/>
      <c r="S8" s="107" t="e">
        <v>#N/A</v>
      </c>
      <c r="T8" s="123"/>
      <c r="U8" s="107" t="e">
        <v>#N/A</v>
      </c>
      <c r="V8" s="123"/>
      <c r="W8" s="106"/>
      <c r="X8" s="123"/>
      <c r="Y8" s="106"/>
      <c r="Z8" s="123"/>
      <c r="AA8" s="106"/>
      <c r="AB8" s="123"/>
      <c r="AC8" s="2" t="s">
        <v>1214</v>
      </c>
    </row>
    <row r="9" spans="1:29" x14ac:dyDescent="0.25">
      <c r="A9" s="70" t="s">
        <v>990</v>
      </c>
      <c r="B9" s="70" t="s">
        <v>1291</v>
      </c>
      <c r="C9" s="2" t="s">
        <v>1293</v>
      </c>
      <c r="D9" s="60">
        <v>1</v>
      </c>
      <c r="E9" s="105"/>
      <c r="F9" s="105"/>
      <c r="G9" s="107">
        <v>4</v>
      </c>
      <c r="H9" s="121"/>
      <c r="I9" s="107">
        <v>4</v>
      </c>
      <c r="J9" s="121"/>
      <c r="K9" s="107">
        <v>4</v>
      </c>
      <c r="L9" s="121"/>
      <c r="M9" s="107">
        <v>4</v>
      </c>
      <c r="N9" s="121"/>
      <c r="O9" s="107">
        <v>4</v>
      </c>
      <c r="P9" s="121"/>
      <c r="Q9" s="107">
        <v>4</v>
      </c>
      <c r="R9" s="121"/>
      <c r="S9" s="107">
        <v>4</v>
      </c>
      <c r="T9" s="121"/>
      <c r="U9" s="107">
        <v>4</v>
      </c>
      <c r="V9" s="121"/>
      <c r="W9" s="107"/>
      <c r="X9" s="121"/>
      <c r="Y9" s="107"/>
      <c r="Z9" s="121"/>
      <c r="AA9" s="107"/>
      <c r="AB9" s="121"/>
      <c r="AC9" s="2" t="s">
        <v>114</v>
      </c>
    </row>
    <row r="10" spans="1:29" x14ac:dyDescent="0.25">
      <c r="A10" s="70" t="s">
        <v>994</v>
      </c>
      <c r="B10" s="70" t="s">
        <v>1291</v>
      </c>
      <c r="C10" s="2" t="s">
        <v>1292</v>
      </c>
      <c r="D10" s="60">
        <v>4</v>
      </c>
      <c r="E10" s="105"/>
      <c r="F10" s="105"/>
      <c r="G10" s="107">
        <v>4</v>
      </c>
      <c r="H10" s="121"/>
      <c r="I10" s="107">
        <v>4</v>
      </c>
      <c r="J10" s="121"/>
      <c r="K10" s="107">
        <v>4</v>
      </c>
      <c r="L10" s="122"/>
      <c r="M10" s="106" t="e">
        <v>#N/A</v>
      </c>
      <c r="N10" s="123"/>
      <c r="O10" s="107">
        <v>3</v>
      </c>
      <c r="P10" s="123"/>
      <c r="Q10" s="107">
        <v>4</v>
      </c>
      <c r="R10" s="123"/>
      <c r="S10" s="107">
        <v>4</v>
      </c>
      <c r="T10" s="123"/>
      <c r="U10" s="107">
        <v>3</v>
      </c>
      <c r="V10" s="123"/>
      <c r="W10" s="106"/>
      <c r="X10" s="123"/>
      <c r="Y10" s="106"/>
      <c r="Z10" s="123"/>
      <c r="AA10" s="106"/>
      <c r="AB10" s="123"/>
      <c r="AC10" s="2" t="s">
        <v>1218</v>
      </c>
    </row>
    <row r="11" spans="1:29" x14ac:dyDescent="0.25">
      <c r="A11" s="2" t="s">
        <v>1219</v>
      </c>
      <c r="B11" s="2" t="s">
        <v>1291</v>
      </c>
      <c r="C11" s="2" t="s">
        <v>1292</v>
      </c>
      <c r="D11" s="60" t="e">
        <v>#N/A</v>
      </c>
      <c r="E11" s="105"/>
      <c r="F11" s="105"/>
      <c r="G11" s="106" t="e">
        <v>#N/A</v>
      </c>
      <c r="H11" s="123"/>
      <c r="I11" s="106" t="e">
        <v>#N/A</v>
      </c>
      <c r="J11" s="122"/>
      <c r="K11" s="107">
        <v>3</v>
      </c>
      <c r="L11" s="122"/>
      <c r="M11" s="106" t="e">
        <v>#N/A</v>
      </c>
      <c r="N11" s="123"/>
      <c r="O11" s="107" t="e">
        <v>#N/A</v>
      </c>
      <c r="P11" s="123"/>
      <c r="Q11" s="107" t="e">
        <v>#N/A</v>
      </c>
      <c r="R11" s="123"/>
      <c r="S11" s="107">
        <v>3</v>
      </c>
      <c r="T11" s="123"/>
      <c r="U11" s="107" t="e">
        <v>#N/A</v>
      </c>
      <c r="V11" s="123"/>
      <c r="W11" s="106"/>
      <c r="X11" s="123"/>
      <c r="Y11" s="106"/>
      <c r="Z11" s="123"/>
      <c r="AA11" s="106"/>
      <c r="AB11" s="123"/>
      <c r="AC11" s="2" t="s">
        <v>1214</v>
      </c>
    </row>
    <row r="12" spans="1:29" x14ac:dyDescent="0.25">
      <c r="A12" s="70" t="s">
        <v>997</v>
      </c>
      <c r="B12" s="70" t="s">
        <v>1291</v>
      </c>
      <c r="C12" s="2" t="s">
        <v>1208</v>
      </c>
      <c r="D12" s="60">
        <v>3</v>
      </c>
      <c r="E12" s="105"/>
      <c r="F12" s="105"/>
      <c r="G12" s="107">
        <v>3</v>
      </c>
      <c r="H12" s="121"/>
      <c r="I12" s="107">
        <v>3</v>
      </c>
      <c r="J12" s="121"/>
      <c r="K12" s="107">
        <v>3</v>
      </c>
      <c r="L12" s="121"/>
      <c r="M12" s="107">
        <v>2</v>
      </c>
      <c r="N12" s="121"/>
      <c r="O12" s="107">
        <v>2</v>
      </c>
      <c r="P12" s="121"/>
      <c r="Q12" s="107">
        <v>3</v>
      </c>
      <c r="R12" s="121"/>
      <c r="S12" s="107">
        <v>3</v>
      </c>
      <c r="T12" s="121"/>
      <c r="U12" s="107">
        <v>3</v>
      </c>
      <c r="V12" s="121"/>
      <c r="W12" s="107"/>
      <c r="X12" s="121"/>
      <c r="Y12" s="107"/>
      <c r="Z12" s="121"/>
      <c r="AA12" s="107"/>
      <c r="AB12" s="121"/>
      <c r="AC12" s="2" t="s">
        <v>1222</v>
      </c>
    </row>
    <row r="13" spans="1:29" x14ac:dyDescent="0.25">
      <c r="A13" s="70" t="s">
        <v>999</v>
      </c>
      <c r="B13" s="70" t="s">
        <v>1291</v>
      </c>
      <c r="C13" s="2" t="s">
        <v>1292</v>
      </c>
      <c r="D13" s="60" t="e">
        <v>#N/A</v>
      </c>
      <c r="E13" s="105"/>
      <c r="F13" s="105"/>
      <c r="G13" s="106" t="e">
        <v>#N/A</v>
      </c>
      <c r="H13" s="123"/>
      <c r="I13" s="106" t="e">
        <v>#N/A</v>
      </c>
      <c r="J13" s="123"/>
      <c r="K13" s="106" t="e">
        <v>#N/A</v>
      </c>
      <c r="L13" s="123"/>
      <c r="M13" s="106" t="e">
        <v>#N/A</v>
      </c>
      <c r="N13" s="123"/>
      <c r="O13" s="107" t="e">
        <v>#N/A</v>
      </c>
      <c r="P13" s="123"/>
      <c r="Q13" s="107" t="e">
        <v>#N/A</v>
      </c>
      <c r="R13" s="123"/>
      <c r="S13" s="107" t="e">
        <v>#N/A</v>
      </c>
      <c r="T13" s="123"/>
      <c r="U13" s="107" t="e">
        <v>#N/A</v>
      </c>
      <c r="V13" s="123"/>
      <c r="W13" s="106"/>
      <c r="X13" s="123"/>
      <c r="Y13" s="106"/>
      <c r="Z13" s="123"/>
      <c r="AA13" s="106"/>
      <c r="AB13" s="123"/>
      <c r="AC13" s="2" t="s">
        <v>1224</v>
      </c>
    </row>
    <row r="14" spans="1:29" x14ac:dyDescent="0.25">
      <c r="A14" s="2" t="s">
        <v>1225</v>
      </c>
      <c r="B14" s="2" t="s">
        <v>1291</v>
      </c>
      <c r="C14" s="2" t="s">
        <v>1292</v>
      </c>
      <c r="D14" s="60" t="e">
        <v>#N/A</v>
      </c>
      <c r="E14" s="105"/>
      <c r="F14" s="105"/>
      <c r="G14" s="106" t="e">
        <v>#N/A</v>
      </c>
      <c r="H14" s="123"/>
      <c r="I14" s="106" t="e">
        <v>#N/A</v>
      </c>
      <c r="J14" s="123"/>
      <c r="K14" s="106" t="e">
        <v>#N/A</v>
      </c>
      <c r="L14" s="123"/>
      <c r="M14" s="106" t="e">
        <v>#N/A</v>
      </c>
      <c r="N14" s="123"/>
      <c r="O14" s="107" t="e">
        <v>#N/A</v>
      </c>
      <c r="P14" s="123"/>
      <c r="Q14" s="107" t="e">
        <v>#N/A</v>
      </c>
      <c r="R14" s="123"/>
      <c r="S14" s="107" t="e">
        <v>#N/A</v>
      </c>
      <c r="T14" s="123"/>
      <c r="U14" s="107" t="e">
        <v>#N/A</v>
      </c>
      <c r="V14" s="123"/>
      <c r="W14" s="106"/>
      <c r="X14" s="123"/>
      <c r="Y14" s="106"/>
      <c r="Z14" s="123"/>
      <c r="AA14" s="106"/>
      <c r="AB14" s="123"/>
      <c r="AC14" s="2" t="s">
        <v>1227</v>
      </c>
    </row>
    <row r="15" spans="1:29" x14ac:dyDescent="0.25">
      <c r="A15" s="70" t="s">
        <v>1005</v>
      </c>
      <c r="B15" s="70" t="s">
        <v>1291</v>
      </c>
      <c r="C15" s="2" t="s">
        <v>1208</v>
      </c>
      <c r="D15" s="60" t="e">
        <v>#N/A</v>
      </c>
      <c r="E15" s="105"/>
      <c r="F15" s="105"/>
      <c r="G15" s="107">
        <v>3</v>
      </c>
      <c r="H15" s="121"/>
      <c r="I15" s="107">
        <v>4</v>
      </c>
      <c r="J15" s="121"/>
      <c r="K15" s="107">
        <v>3</v>
      </c>
      <c r="L15" s="121"/>
      <c r="M15" s="107">
        <v>3</v>
      </c>
      <c r="N15" s="121"/>
      <c r="O15" s="107">
        <v>3</v>
      </c>
      <c r="P15" s="121"/>
      <c r="Q15" s="107">
        <v>3</v>
      </c>
      <c r="R15" s="121"/>
      <c r="S15" s="107">
        <v>3</v>
      </c>
      <c r="T15" s="121"/>
      <c r="U15" s="107">
        <v>3</v>
      </c>
      <c r="V15" s="121"/>
      <c r="W15" s="107"/>
      <c r="X15" s="121"/>
      <c r="Y15" s="107"/>
      <c r="Z15" s="121"/>
      <c r="AA15" s="107"/>
      <c r="AB15" s="121"/>
      <c r="AC15" s="2" t="s">
        <v>1222</v>
      </c>
    </row>
    <row r="16" spans="1:29" x14ac:dyDescent="0.25">
      <c r="A16" s="70" t="s">
        <v>1010</v>
      </c>
      <c r="B16" s="70" t="s">
        <v>1291</v>
      </c>
      <c r="C16" s="2" t="s">
        <v>1292</v>
      </c>
      <c r="D16" s="60" t="e">
        <v>#N/A</v>
      </c>
      <c r="E16" s="105"/>
      <c r="F16" s="105"/>
      <c r="G16" s="107">
        <v>3</v>
      </c>
      <c r="H16" s="122"/>
      <c r="I16" s="106" t="e">
        <v>#N/A</v>
      </c>
      <c r="J16" s="123">
        <v>3</v>
      </c>
      <c r="K16" s="106" t="e">
        <v>#N/A</v>
      </c>
      <c r="L16" s="123">
        <v>3</v>
      </c>
      <c r="M16" s="106" t="e">
        <v>#N/A</v>
      </c>
      <c r="N16" s="123"/>
      <c r="O16" s="107">
        <v>3</v>
      </c>
      <c r="P16" s="123"/>
      <c r="Q16" s="107">
        <v>3</v>
      </c>
      <c r="R16" s="123"/>
      <c r="S16" s="107">
        <v>2</v>
      </c>
      <c r="T16" s="123"/>
      <c r="U16" s="107">
        <v>3</v>
      </c>
      <c r="V16" s="123"/>
      <c r="W16" s="106"/>
      <c r="X16" s="123"/>
      <c r="Y16" s="106"/>
      <c r="Z16" s="123"/>
      <c r="AA16" s="106"/>
      <c r="AB16" s="123"/>
      <c r="AC16" s="2" t="s">
        <v>1218</v>
      </c>
    </row>
    <row r="17" spans="1:29" x14ac:dyDescent="0.25">
      <c r="A17" s="70" t="s">
        <v>1012</v>
      </c>
      <c r="B17" s="70" t="s">
        <v>1291</v>
      </c>
      <c r="C17" s="2" t="s">
        <v>1292</v>
      </c>
      <c r="D17" s="60">
        <v>3</v>
      </c>
      <c r="E17" s="105"/>
      <c r="F17" s="105"/>
      <c r="G17" s="107">
        <v>4</v>
      </c>
      <c r="H17" s="121"/>
      <c r="I17" s="107">
        <v>4</v>
      </c>
      <c r="J17" s="121"/>
      <c r="K17" s="107">
        <v>4</v>
      </c>
      <c r="L17" s="121"/>
      <c r="M17" s="107">
        <v>3</v>
      </c>
      <c r="N17" s="121"/>
      <c r="O17" s="107">
        <v>3</v>
      </c>
      <c r="P17" s="121"/>
      <c r="Q17" s="107">
        <v>3</v>
      </c>
      <c r="R17" s="121"/>
      <c r="S17" s="107">
        <v>3</v>
      </c>
      <c r="T17" s="121"/>
      <c r="U17" s="107">
        <v>3</v>
      </c>
      <c r="V17" s="121"/>
      <c r="W17" s="107"/>
      <c r="X17" s="121"/>
      <c r="Y17" s="107"/>
      <c r="Z17" s="121"/>
      <c r="AA17" s="107"/>
      <c r="AB17" s="121"/>
      <c r="AC17" s="2" t="s">
        <v>1228</v>
      </c>
    </row>
    <row r="18" spans="1:29" x14ac:dyDescent="0.25">
      <c r="A18" s="2" t="s">
        <v>1229</v>
      </c>
      <c r="B18" s="2" t="s">
        <v>1291</v>
      </c>
      <c r="C18" s="2" t="s">
        <v>1292</v>
      </c>
      <c r="D18" s="60" t="e">
        <v>#N/A</v>
      </c>
      <c r="E18" s="105"/>
      <c r="F18" s="105"/>
      <c r="G18" s="106" t="e">
        <v>#N/A</v>
      </c>
      <c r="H18" s="123"/>
      <c r="I18" s="106" t="e">
        <v>#N/A</v>
      </c>
      <c r="J18" s="123"/>
      <c r="K18" s="106" t="e">
        <v>#N/A</v>
      </c>
      <c r="L18" s="123"/>
      <c r="M18" s="106" t="e">
        <v>#N/A</v>
      </c>
      <c r="N18" s="123"/>
      <c r="O18" s="107" t="e">
        <v>#N/A</v>
      </c>
      <c r="P18" s="123"/>
      <c r="Q18" s="107" t="e">
        <v>#N/A</v>
      </c>
      <c r="R18" s="123"/>
      <c r="S18" s="107">
        <v>3</v>
      </c>
      <c r="T18" s="123"/>
      <c r="U18" s="107" t="e">
        <v>#N/A</v>
      </c>
      <c r="V18" s="123"/>
      <c r="W18" s="106"/>
      <c r="X18" s="123"/>
      <c r="Y18" s="106"/>
      <c r="Z18" s="123"/>
      <c r="AA18" s="106"/>
      <c r="AB18" s="123"/>
      <c r="AC18" s="2" t="s">
        <v>1230</v>
      </c>
    </row>
    <row r="19" spans="1:29" x14ac:dyDescent="0.25">
      <c r="A19" s="2" t="s">
        <v>1231</v>
      </c>
      <c r="B19" s="2" t="s">
        <v>1291</v>
      </c>
      <c r="C19" s="2" t="s">
        <v>1292</v>
      </c>
      <c r="D19" s="60" t="e">
        <v>#N/A</v>
      </c>
      <c r="E19" s="105"/>
      <c r="F19" s="105"/>
      <c r="G19" s="106" t="e">
        <v>#N/A</v>
      </c>
      <c r="H19" s="123"/>
      <c r="I19" s="106" t="e">
        <v>#N/A</v>
      </c>
      <c r="J19" s="123"/>
      <c r="K19" s="106" t="e">
        <v>#N/A</v>
      </c>
      <c r="L19" s="123"/>
      <c r="M19" s="106" t="e">
        <v>#N/A</v>
      </c>
      <c r="N19" s="123"/>
      <c r="O19" s="107">
        <v>4</v>
      </c>
      <c r="P19" s="123"/>
      <c r="Q19" s="107">
        <v>4</v>
      </c>
      <c r="R19" s="123"/>
      <c r="S19" s="107">
        <v>4</v>
      </c>
      <c r="T19" s="123"/>
      <c r="U19" s="107" t="e">
        <v>#N/A</v>
      </c>
      <c r="V19" s="123"/>
      <c r="W19" s="106"/>
      <c r="X19" s="123"/>
      <c r="Y19" s="106"/>
      <c r="Z19" s="123"/>
      <c r="AA19" s="106"/>
      <c r="AB19" s="123"/>
      <c r="AC19" s="2" t="s">
        <v>1214</v>
      </c>
    </row>
    <row r="20" spans="1:29" x14ac:dyDescent="0.25">
      <c r="A20" s="2" t="s">
        <v>354</v>
      </c>
      <c r="B20" s="2" t="s">
        <v>1291</v>
      </c>
      <c r="C20" s="2" t="s">
        <v>1292</v>
      </c>
      <c r="D20" s="60" t="e">
        <v>#N/A</v>
      </c>
      <c r="E20" s="105"/>
      <c r="F20" s="105"/>
      <c r="G20" s="106" t="e">
        <v>#N/A</v>
      </c>
      <c r="H20" s="123"/>
      <c r="I20" s="106" t="e">
        <v>#N/A</v>
      </c>
      <c r="J20" s="123"/>
      <c r="K20" s="106" t="e">
        <v>#N/A</v>
      </c>
      <c r="L20" s="123"/>
      <c r="M20" s="106" t="e">
        <v>#N/A</v>
      </c>
      <c r="N20" s="123"/>
      <c r="O20" s="107" t="e">
        <v>#N/A</v>
      </c>
      <c r="P20" s="123"/>
      <c r="Q20" s="107" t="e">
        <v>#N/A</v>
      </c>
      <c r="R20" s="123"/>
      <c r="S20" s="107" t="e">
        <v>#N/A</v>
      </c>
      <c r="T20" s="123"/>
      <c r="U20" s="107" t="e">
        <v>#N/A</v>
      </c>
      <c r="V20" s="123"/>
      <c r="W20" s="106"/>
      <c r="X20" s="123"/>
      <c r="Y20" s="106"/>
      <c r="Z20" s="123"/>
      <c r="AA20" s="106"/>
      <c r="AB20" s="123"/>
      <c r="AC20" s="2" t="s">
        <v>1232</v>
      </c>
    </row>
    <row r="21" spans="1:29" x14ac:dyDescent="0.25">
      <c r="A21" s="2" t="s">
        <v>355</v>
      </c>
      <c r="B21" s="2" t="s">
        <v>1291</v>
      </c>
      <c r="C21" s="2" t="s">
        <v>1292</v>
      </c>
      <c r="D21" s="60" t="e">
        <v>#N/A</v>
      </c>
      <c r="E21" s="105"/>
      <c r="F21" s="105"/>
      <c r="G21" s="107">
        <v>2</v>
      </c>
      <c r="H21" s="122"/>
      <c r="I21" s="106" t="e">
        <v>#N/A</v>
      </c>
      <c r="J21" s="123"/>
      <c r="K21" s="106" t="e">
        <v>#N/A</v>
      </c>
      <c r="L21" s="123"/>
      <c r="M21" s="106" t="e">
        <v>#N/A</v>
      </c>
      <c r="N21" s="123"/>
      <c r="O21" s="107" t="e">
        <v>#N/A</v>
      </c>
      <c r="P21" s="123"/>
      <c r="Q21" s="107" t="e">
        <v>#N/A</v>
      </c>
      <c r="R21" s="123"/>
      <c r="S21" s="107" t="e">
        <v>#N/A</v>
      </c>
      <c r="T21" s="123"/>
      <c r="U21" s="107" t="e">
        <v>#N/A</v>
      </c>
      <c r="V21" s="123"/>
      <c r="W21" s="106"/>
      <c r="X21" s="123"/>
      <c r="Y21" s="106"/>
      <c r="Z21" s="123"/>
      <c r="AA21" s="106"/>
      <c r="AB21" s="123"/>
      <c r="AC21" s="2" t="s">
        <v>1232</v>
      </c>
    </row>
    <row r="22" spans="1:29" x14ac:dyDescent="0.25">
      <c r="A22" s="2" t="s">
        <v>358</v>
      </c>
      <c r="B22" s="2" t="s">
        <v>1291</v>
      </c>
      <c r="C22" s="2" t="s">
        <v>1292</v>
      </c>
      <c r="D22" s="60">
        <v>3</v>
      </c>
      <c r="E22" s="105"/>
      <c r="F22" s="105"/>
      <c r="G22" s="107">
        <v>3</v>
      </c>
      <c r="H22" s="122"/>
      <c r="I22" s="106" t="e">
        <v>#N/A</v>
      </c>
      <c r="J22" s="123"/>
      <c r="K22" s="106" t="e">
        <v>#N/A</v>
      </c>
      <c r="L22" s="123"/>
      <c r="M22" s="106" t="e">
        <v>#N/A</v>
      </c>
      <c r="N22" s="123"/>
      <c r="O22" s="107" t="e">
        <v>#N/A</v>
      </c>
      <c r="P22" s="123"/>
      <c r="Q22" s="107" t="e">
        <v>#N/A</v>
      </c>
      <c r="R22" s="123"/>
      <c r="S22" s="107" t="e">
        <v>#N/A</v>
      </c>
      <c r="T22" s="123"/>
      <c r="U22" s="107" t="e">
        <v>#N/A</v>
      </c>
      <c r="V22" s="123"/>
      <c r="W22" s="106"/>
      <c r="X22" s="123"/>
      <c r="Y22" s="106"/>
      <c r="Z22" s="123"/>
      <c r="AA22" s="106"/>
      <c r="AB22" s="123"/>
      <c r="AC22" s="2" t="s">
        <v>1232</v>
      </c>
    </row>
    <row r="23" spans="1:29" x14ac:dyDescent="0.25">
      <c r="A23" s="2" t="s">
        <v>1233</v>
      </c>
      <c r="B23" s="2" t="s">
        <v>1291</v>
      </c>
      <c r="C23" s="2" t="s">
        <v>1292</v>
      </c>
      <c r="D23" s="60" t="e">
        <v>#N/A</v>
      </c>
      <c r="E23" s="105"/>
      <c r="F23" s="105"/>
      <c r="G23" s="107">
        <v>4</v>
      </c>
      <c r="H23" s="122"/>
      <c r="I23" s="106" t="e">
        <v>#N/A</v>
      </c>
      <c r="J23" s="123"/>
      <c r="K23" s="106" t="e">
        <v>#N/A</v>
      </c>
      <c r="L23" s="123"/>
      <c r="M23" s="106" t="e">
        <v>#N/A</v>
      </c>
      <c r="N23" s="123"/>
      <c r="O23" s="107">
        <v>3</v>
      </c>
      <c r="P23" s="123"/>
      <c r="Q23" s="107">
        <v>3</v>
      </c>
      <c r="R23" s="123"/>
      <c r="S23" s="107" t="e">
        <v>#N/A</v>
      </c>
      <c r="T23" s="123"/>
      <c r="U23" s="107">
        <v>2</v>
      </c>
      <c r="V23" s="123"/>
      <c r="W23" s="106"/>
      <c r="X23" s="123"/>
      <c r="Y23" s="106"/>
      <c r="Z23" s="123"/>
      <c r="AA23" s="106"/>
      <c r="AB23" s="123"/>
      <c r="AC23" s="2" t="s">
        <v>1214</v>
      </c>
    </row>
    <row r="24" spans="1:29" x14ac:dyDescent="0.25">
      <c r="A24" s="2" t="s">
        <v>1234</v>
      </c>
      <c r="B24" s="2" t="s">
        <v>1291</v>
      </c>
      <c r="C24" s="2" t="s">
        <v>1292</v>
      </c>
      <c r="D24" s="60" t="e">
        <v>#N/A</v>
      </c>
      <c r="E24" s="105"/>
      <c r="F24" s="105"/>
      <c r="G24" s="106" t="e">
        <v>#N/A</v>
      </c>
      <c r="H24" s="123"/>
      <c r="I24" s="106" t="e">
        <v>#N/A</v>
      </c>
      <c r="J24" s="123"/>
      <c r="K24" s="106" t="e">
        <v>#N/A</v>
      </c>
      <c r="L24" s="123"/>
      <c r="M24" s="106" t="e">
        <v>#N/A</v>
      </c>
      <c r="N24" s="123"/>
      <c r="O24" s="107">
        <v>4</v>
      </c>
      <c r="P24" s="123"/>
      <c r="Q24" s="107">
        <v>4</v>
      </c>
      <c r="R24" s="123"/>
      <c r="S24" s="107">
        <v>4</v>
      </c>
      <c r="T24" s="123"/>
      <c r="U24" s="107" t="e">
        <v>#N/A</v>
      </c>
      <c r="V24" s="123"/>
      <c r="W24" s="106"/>
      <c r="X24" s="123"/>
      <c r="Y24" s="106"/>
      <c r="Z24" s="123"/>
      <c r="AA24" s="106"/>
      <c r="AB24" s="123"/>
      <c r="AC24" s="2" t="s">
        <v>1214</v>
      </c>
    </row>
    <row r="25" spans="1:29" x14ac:dyDescent="0.25">
      <c r="A25" s="2" t="s">
        <v>1235</v>
      </c>
      <c r="B25" s="2" t="s">
        <v>1291</v>
      </c>
      <c r="C25" s="2" t="s">
        <v>1292</v>
      </c>
      <c r="D25" s="60" t="e">
        <v>#N/A</v>
      </c>
      <c r="E25" s="105"/>
      <c r="F25" s="105"/>
      <c r="G25" s="106" t="e">
        <v>#N/A</v>
      </c>
      <c r="H25" s="123"/>
      <c r="I25" s="106" t="e">
        <v>#N/A</v>
      </c>
      <c r="J25" s="123"/>
      <c r="K25" s="106" t="e">
        <v>#N/A</v>
      </c>
      <c r="L25" s="123"/>
      <c r="M25" s="106" t="e">
        <v>#N/A</v>
      </c>
      <c r="N25" s="123"/>
      <c r="O25" s="107">
        <v>4</v>
      </c>
      <c r="P25" s="123"/>
      <c r="Q25" s="107">
        <v>4</v>
      </c>
      <c r="R25" s="123"/>
      <c r="S25" s="107">
        <v>4</v>
      </c>
      <c r="T25" s="123"/>
      <c r="U25" s="107" t="e">
        <v>#N/A</v>
      </c>
      <c r="V25" s="123"/>
      <c r="W25" s="106"/>
      <c r="X25" s="123"/>
      <c r="Y25" s="106"/>
      <c r="Z25" s="123"/>
      <c r="AA25" s="106"/>
      <c r="AB25" s="123"/>
      <c r="AC25" s="2" t="s">
        <v>1214</v>
      </c>
    </row>
    <row r="26" spans="1:29" x14ac:dyDescent="0.25">
      <c r="A26" s="70" t="s">
        <v>1018</v>
      </c>
      <c r="B26" s="70" t="s">
        <v>1291</v>
      </c>
      <c r="C26" s="2" t="s">
        <v>1292</v>
      </c>
      <c r="D26" s="60">
        <v>3</v>
      </c>
      <c r="E26" s="105"/>
      <c r="F26" s="105"/>
      <c r="G26" s="107">
        <v>3</v>
      </c>
      <c r="H26" s="122"/>
      <c r="I26" s="106" t="e">
        <v>#N/A</v>
      </c>
      <c r="J26" s="123"/>
      <c r="K26" s="106" t="e">
        <v>#N/A</v>
      </c>
      <c r="L26" s="123">
        <v>3</v>
      </c>
      <c r="M26" s="106" t="e">
        <v>#N/A</v>
      </c>
      <c r="N26" s="123"/>
      <c r="O26" s="107" t="e">
        <v>#N/A</v>
      </c>
      <c r="P26" s="123"/>
      <c r="Q26" s="107" t="e">
        <v>#N/A</v>
      </c>
      <c r="R26" s="123"/>
      <c r="S26" s="107" t="e">
        <v>#N/A</v>
      </c>
      <c r="T26" s="123"/>
      <c r="U26" s="107" t="e">
        <v>#N/A</v>
      </c>
      <c r="V26" s="123"/>
      <c r="W26" s="106"/>
      <c r="X26" s="123"/>
      <c r="Y26" s="106"/>
      <c r="Z26" s="123"/>
      <c r="AA26" s="106"/>
      <c r="AB26" s="123"/>
      <c r="AC26" s="2" t="s">
        <v>1236</v>
      </c>
    </row>
    <row r="27" spans="1:29" x14ac:dyDescent="0.25">
      <c r="A27" s="75" t="s">
        <v>1019</v>
      </c>
      <c r="B27" s="75" t="s">
        <v>1291</v>
      </c>
      <c r="C27" s="2" t="s">
        <v>1292</v>
      </c>
      <c r="D27" s="60">
        <v>4</v>
      </c>
      <c r="E27" s="105"/>
      <c r="F27" s="105"/>
      <c r="G27" s="107">
        <v>4</v>
      </c>
      <c r="H27" s="121"/>
      <c r="I27" s="107">
        <v>4</v>
      </c>
      <c r="J27" s="121"/>
      <c r="K27" s="107">
        <v>4</v>
      </c>
      <c r="L27" s="122"/>
      <c r="M27" s="106" t="e">
        <v>#N/A</v>
      </c>
      <c r="N27" s="123"/>
      <c r="O27" s="107">
        <v>3</v>
      </c>
      <c r="P27" s="123"/>
      <c r="Q27" s="107">
        <v>3</v>
      </c>
      <c r="R27" s="123"/>
      <c r="S27" s="107">
        <v>4</v>
      </c>
      <c r="T27" s="123"/>
      <c r="U27" s="107" t="e">
        <v>#N/A</v>
      </c>
      <c r="V27" s="123"/>
      <c r="W27" s="106"/>
      <c r="X27" s="123"/>
      <c r="Y27" s="106"/>
      <c r="Z27" s="123"/>
      <c r="AA27" s="106"/>
      <c r="AB27" s="123"/>
      <c r="AC27" s="2" t="s">
        <v>114</v>
      </c>
    </row>
    <row r="28" spans="1:29" x14ac:dyDescent="0.25">
      <c r="A28" s="2" t="s">
        <v>430</v>
      </c>
      <c r="B28" s="2" t="s">
        <v>1291</v>
      </c>
      <c r="C28" s="2" t="s">
        <v>1292</v>
      </c>
      <c r="D28" s="60" t="e">
        <v>#N/A</v>
      </c>
      <c r="E28" s="105"/>
      <c r="F28" s="105"/>
      <c r="G28" s="106" t="e">
        <v>#N/A</v>
      </c>
      <c r="H28" s="123"/>
      <c r="I28" s="106" t="e">
        <v>#N/A</v>
      </c>
      <c r="J28" s="123"/>
      <c r="K28" s="106" t="e">
        <v>#N/A</v>
      </c>
      <c r="L28" s="123"/>
      <c r="M28" s="106" t="e">
        <v>#N/A</v>
      </c>
      <c r="N28" s="123"/>
      <c r="O28" s="107" t="e">
        <v>#N/A</v>
      </c>
      <c r="P28" s="123"/>
      <c r="Q28" s="107" t="e">
        <v>#N/A</v>
      </c>
      <c r="R28" s="123"/>
      <c r="S28" s="107" t="e">
        <v>#N/A</v>
      </c>
      <c r="T28" s="123"/>
      <c r="U28" s="107" t="e">
        <v>#N/A</v>
      </c>
      <c r="V28" s="123"/>
      <c r="W28" s="106"/>
      <c r="X28" s="123"/>
      <c r="Y28" s="106"/>
      <c r="Z28" s="123"/>
      <c r="AA28" s="106"/>
      <c r="AB28" s="123"/>
      <c r="AC28" s="2"/>
    </row>
    <row r="29" spans="1:29" x14ac:dyDescent="0.25">
      <c r="A29" s="2" t="s">
        <v>1237</v>
      </c>
      <c r="B29" s="2" t="s">
        <v>1291</v>
      </c>
      <c r="C29" s="2" t="s">
        <v>1292</v>
      </c>
      <c r="D29" s="60" t="e">
        <v>#N/A</v>
      </c>
      <c r="E29" s="105"/>
      <c r="F29" s="105"/>
      <c r="G29" s="106" t="e">
        <v>#N/A</v>
      </c>
      <c r="H29" s="123"/>
      <c r="I29" s="106" t="e">
        <v>#N/A</v>
      </c>
      <c r="J29" s="123"/>
      <c r="K29" s="106" t="e">
        <v>#N/A</v>
      </c>
      <c r="L29" s="123"/>
      <c r="M29" s="106" t="e">
        <v>#N/A</v>
      </c>
      <c r="N29" s="123"/>
      <c r="O29" s="107">
        <v>4</v>
      </c>
      <c r="P29" s="123"/>
      <c r="Q29" s="107" t="s">
        <v>174</v>
      </c>
      <c r="R29" s="123"/>
      <c r="S29" s="107" t="e">
        <v>#N/A</v>
      </c>
      <c r="T29" s="123"/>
      <c r="U29" s="107">
        <v>2</v>
      </c>
      <c r="V29" s="123"/>
      <c r="W29" s="106"/>
      <c r="X29" s="123"/>
      <c r="Y29" s="106"/>
      <c r="Z29" s="123"/>
      <c r="AA29" s="106"/>
      <c r="AB29" s="123"/>
      <c r="AC29" s="2" t="s">
        <v>1214</v>
      </c>
    </row>
    <row r="30" spans="1:29" x14ac:dyDescent="0.25">
      <c r="A30" s="2" t="s">
        <v>1294</v>
      </c>
      <c r="B30" s="2" t="s">
        <v>1291</v>
      </c>
      <c r="C30" s="2" t="s">
        <v>1292</v>
      </c>
      <c r="D30" s="60" t="e">
        <v>#N/A</v>
      </c>
      <c r="E30" s="105"/>
      <c r="F30" s="105"/>
      <c r="G30" s="106" t="e">
        <v>#N/A</v>
      </c>
      <c r="H30" s="122"/>
      <c r="I30" s="107">
        <v>3</v>
      </c>
      <c r="J30" s="121"/>
      <c r="K30" s="107">
        <v>3</v>
      </c>
      <c r="L30" s="121"/>
      <c r="M30" s="107">
        <v>3</v>
      </c>
      <c r="N30" s="121"/>
      <c r="O30" s="107">
        <v>3</v>
      </c>
      <c r="P30" s="121"/>
      <c r="Q30" s="107" t="e">
        <v>#N/A</v>
      </c>
      <c r="R30" s="121"/>
      <c r="S30" s="107" t="e">
        <v>#N/A</v>
      </c>
      <c r="T30" s="121"/>
      <c r="U30" s="107" t="e">
        <v>#N/A</v>
      </c>
      <c r="V30" s="121"/>
      <c r="W30" s="107"/>
      <c r="X30" s="121"/>
      <c r="Y30" s="107"/>
      <c r="Z30" s="121"/>
      <c r="AA30" s="107"/>
      <c r="AB30" s="121"/>
      <c r="AC30" s="2" t="s">
        <v>653</v>
      </c>
    </row>
    <row r="31" spans="1:29" x14ac:dyDescent="0.25">
      <c r="A31" s="2" t="s">
        <v>1295</v>
      </c>
      <c r="B31" s="2" t="s">
        <v>1291</v>
      </c>
      <c r="C31" s="2" t="s">
        <v>1292</v>
      </c>
      <c r="D31" s="60" t="e">
        <v>#N/A</v>
      </c>
      <c r="E31" s="105"/>
      <c r="F31" s="105"/>
      <c r="G31" s="106" t="e">
        <v>#N/A</v>
      </c>
      <c r="H31" s="123"/>
      <c r="I31" s="106" t="e">
        <v>#N/A</v>
      </c>
      <c r="J31" s="123"/>
      <c r="K31" s="106" t="e">
        <v>#N/A</v>
      </c>
      <c r="L31" s="123"/>
      <c r="M31" s="106" t="e">
        <v>#N/A</v>
      </c>
      <c r="N31" s="123"/>
      <c r="O31" s="107">
        <v>4</v>
      </c>
      <c r="P31" s="123"/>
      <c r="Q31" s="107" t="s">
        <v>174</v>
      </c>
      <c r="R31" s="123"/>
      <c r="S31" s="107" t="e">
        <v>#N/A</v>
      </c>
      <c r="T31" s="123"/>
      <c r="U31" s="107">
        <v>2</v>
      </c>
      <c r="V31" s="123"/>
      <c r="W31" s="106"/>
      <c r="X31" s="123"/>
      <c r="Y31" s="106"/>
      <c r="Z31" s="123"/>
      <c r="AA31" s="106"/>
      <c r="AB31" s="123"/>
      <c r="AC31" s="2" t="s">
        <v>1214</v>
      </c>
    </row>
    <row r="32" spans="1:29" x14ac:dyDescent="0.25">
      <c r="A32" s="2" t="s">
        <v>1240</v>
      </c>
      <c r="B32" s="2" t="s">
        <v>1291</v>
      </c>
      <c r="C32" s="2" t="s">
        <v>1292</v>
      </c>
      <c r="D32" s="60" t="e">
        <v>#N/A</v>
      </c>
      <c r="E32" s="105"/>
      <c r="F32" s="105"/>
      <c r="G32" s="106" t="e">
        <v>#N/A</v>
      </c>
      <c r="H32" s="123"/>
      <c r="I32" s="106" t="e">
        <v>#N/A</v>
      </c>
      <c r="J32" s="122"/>
      <c r="K32" s="107">
        <v>4</v>
      </c>
      <c r="L32" s="122"/>
      <c r="M32" s="106" t="e">
        <v>#N/A</v>
      </c>
      <c r="N32" s="123"/>
      <c r="O32" s="107">
        <v>4</v>
      </c>
      <c r="P32" s="123"/>
      <c r="Q32" s="107" t="e">
        <v>#N/A</v>
      </c>
      <c r="R32" s="123"/>
      <c r="S32" s="107">
        <v>4</v>
      </c>
      <c r="T32" s="123"/>
      <c r="U32" s="107">
        <v>4</v>
      </c>
      <c r="V32" s="123"/>
      <c r="W32" s="106"/>
      <c r="X32" s="123"/>
      <c r="Y32" s="106"/>
      <c r="Z32" s="123"/>
      <c r="AA32" s="106"/>
      <c r="AB32" s="123"/>
      <c r="AC32" s="2" t="s">
        <v>1214</v>
      </c>
    </row>
    <row r="33" spans="1:29" x14ac:dyDescent="0.25">
      <c r="A33" s="2" t="s">
        <v>545</v>
      </c>
      <c r="B33" s="2" t="s">
        <v>1291</v>
      </c>
      <c r="C33" s="2" t="s">
        <v>1292</v>
      </c>
      <c r="D33" s="60" t="e">
        <v>#N/A</v>
      </c>
      <c r="E33" s="105"/>
      <c r="F33" s="105"/>
      <c r="G33" s="106" t="e">
        <v>#N/A</v>
      </c>
      <c r="H33" s="123"/>
      <c r="I33" s="106" t="e">
        <v>#N/A</v>
      </c>
      <c r="J33" s="122"/>
      <c r="K33" s="107">
        <v>4</v>
      </c>
      <c r="L33" s="122"/>
      <c r="M33" s="106" t="e">
        <v>#N/A</v>
      </c>
      <c r="N33" s="123"/>
      <c r="O33" s="107">
        <v>4</v>
      </c>
      <c r="P33" s="123"/>
      <c r="Q33" s="107" t="e">
        <v>#N/A</v>
      </c>
      <c r="R33" s="123"/>
      <c r="S33" s="107">
        <v>4</v>
      </c>
      <c r="T33" s="123"/>
      <c r="U33" s="107">
        <v>4</v>
      </c>
      <c r="V33" s="123"/>
      <c r="W33" s="106"/>
      <c r="X33" s="123"/>
      <c r="Y33" s="106"/>
      <c r="Z33" s="123"/>
      <c r="AA33" s="106"/>
      <c r="AB33" s="123"/>
      <c r="AC33" s="2" t="s">
        <v>1214</v>
      </c>
    </row>
    <row r="34" spans="1:29" x14ac:dyDescent="0.25">
      <c r="A34" s="70" t="s">
        <v>1031</v>
      </c>
      <c r="B34" s="70" t="s">
        <v>1291</v>
      </c>
      <c r="C34" s="2" t="s">
        <v>1292</v>
      </c>
      <c r="D34" s="60">
        <v>3</v>
      </c>
      <c r="E34" s="105"/>
      <c r="F34" s="105"/>
      <c r="G34" s="106" t="e">
        <v>#N/A</v>
      </c>
      <c r="H34" s="122"/>
      <c r="I34" s="107">
        <v>4</v>
      </c>
      <c r="J34" s="121"/>
      <c r="K34" s="107">
        <v>4</v>
      </c>
      <c r="L34" s="122"/>
      <c r="M34" s="106" t="e">
        <v>#N/A</v>
      </c>
      <c r="N34" s="123"/>
      <c r="O34" s="107">
        <v>4</v>
      </c>
      <c r="P34" s="123"/>
      <c r="Q34" s="107">
        <v>4</v>
      </c>
      <c r="R34" s="123"/>
      <c r="S34" s="107">
        <v>3</v>
      </c>
      <c r="T34" s="123"/>
      <c r="U34" s="107">
        <v>3</v>
      </c>
      <c r="V34" s="123"/>
      <c r="W34" s="106"/>
      <c r="X34" s="123"/>
      <c r="Y34" s="106"/>
      <c r="Z34" s="123"/>
      <c r="AA34" s="106"/>
      <c r="AB34" s="123"/>
      <c r="AC34" s="2" t="s">
        <v>557</v>
      </c>
    </row>
    <row r="35" spans="1:29" x14ac:dyDescent="0.25">
      <c r="A35" s="2" t="s">
        <v>1032</v>
      </c>
      <c r="B35" s="2" t="s">
        <v>1291</v>
      </c>
      <c r="C35" s="2" t="s">
        <v>1292</v>
      </c>
      <c r="D35" s="60" t="e">
        <v>#N/A</v>
      </c>
      <c r="E35" s="105"/>
      <c r="F35" s="105"/>
      <c r="G35" s="106" t="e">
        <v>#N/A</v>
      </c>
      <c r="H35" s="123"/>
      <c r="I35" s="106" t="e">
        <v>#N/A</v>
      </c>
      <c r="J35" s="123"/>
      <c r="K35" s="106" t="e">
        <v>#N/A</v>
      </c>
      <c r="L35" s="123"/>
      <c r="M35" s="106" t="e">
        <v>#N/A</v>
      </c>
      <c r="N35" s="123"/>
      <c r="O35" s="107" t="e">
        <v>#N/A</v>
      </c>
      <c r="P35" s="123"/>
      <c r="Q35" s="107" t="e">
        <v>#N/A</v>
      </c>
      <c r="R35" s="123"/>
      <c r="S35" s="107" t="e">
        <v>#N/A</v>
      </c>
      <c r="T35" s="123"/>
      <c r="U35" s="107" t="e">
        <v>#N/A</v>
      </c>
      <c r="V35" s="123"/>
      <c r="W35" s="106"/>
      <c r="X35" s="123"/>
      <c r="Y35" s="106"/>
      <c r="Z35" s="123"/>
      <c r="AA35" s="106"/>
      <c r="AB35" s="123"/>
      <c r="AC35" s="2" t="s">
        <v>1230</v>
      </c>
    </row>
    <row r="36" spans="1:29" x14ac:dyDescent="0.25">
      <c r="A36" s="2" t="s">
        <v>1243</v>
      </c>
      <c r="B36" s="2" t="s">
        <v>1291</v>
      </c>
      <c r="C36" s="2" t="s">
        <v>1292</v>
      </c>
      <c r="D36" s="60" t="e">
        <v>#N/A</v>
      </c>
      <c r="E36" s="105"/>
      <c r="F36" s="105"/>
      <c r="G36" s="106" t="e">
        <v>#N/A</v>
      </c>
      <c r="H36" s="123"/>
      <c r="I36" s="106" t="e">
        <v>#N/A</v>
      </c>
      <c r="J36" s="123"/>
      <c r="K36" s="106" t="e">
        <v>#N/A</v>
      </c>
      <c r="L36" s="123"/>
      <c r="M36" s="106" t="e">
        <v>#N/A</v>
      </c>
      <c r="N36" s="123"/>
      <c r="O36" s="107">
        <v>4</v>
      </c>
      <c r="P36" s="123"/>
      <c r="Q36" s="107" t="s">
        <v>174</v>
      </c>
      <c r="R36" s="123"/>
      <c r="S36" s="107" t="e">
        <v>#N/A</v>
      </c>
      <c r="T36" s="123"/>
      <c r="U36" s="107">
        <v>2</v>
      </c>
      <c r="V36" s="123"/>
      <c r="W36" s="106"/>
      <c r="X36" s="123"/>
      <c r="Y36" s="106"/>
      <c r="Z36" s="123"/>
      <c r="AA36" s="106"/>
      <c r="AB36" s="123"/>
      <c r="AC36" s="2" t="s">
        <v>1214</v>
      </c>
    </row>
    <row r="37" spans="1:29" x14ac:dyDescent="0.25">
      <c r="A37" s="70" t="s">
        <v>1244</v>
      </c>
      <c r="B37" s="70" t="s">
        <v>1291</v>
      </c>
      <c r="C37" s="2" t="s">
        <v>1208</v>
      </c>
      <c r="D37" s="60">
        <v>3</v>
      </c>
      <c r="E37" s="105"/>
      <c r="F37" s="105"/>
      <c r="G37" s="106" t="e">
        <v>#N/A</v>
      </c>
      <c r="H37" s="123"/>
      <c r="I37" s="106" t="e">
        <v>#N/A</v>
      </c>
      <c r="J37" s="123"/>
      <c r="K37" s="106" t="e">
        <v>#N/A</v>
      </c>
      <c r="L37" s="123"/>
      <c r="M37" s="106" t="e">
        <v>#N/A</v>
      </c>
      <c r="N37" s="123"/>
      <c r="O37" s="107" t="e">
        <v>#N/A</v>
      </c>
      <c r="P37" s="123"/>
      <c r="Q37" s="107">
        <v>3</v>
      </c>
      <c r="R37" s="123"/>
      <c r="S37" s="107">
        <v>3</v>
      </c>
      <c r="T37" s="123"/>
      <c r="U37" s="107">
        <v>1</v>
      </c>
      <c r="V37" s="123"/>
      <c r="W37" s="106"/>
      <c r="X37" s="123"/>
      <c r="Y37" s="106"/>
      <c r="Z37" s="123"/>
      <c r="AA37" s="106"/>
      <c r="AB37" s="123"/>
      <c r="AC37" s="2" t="s">
        <v>1232</v>
      </c>
    </row>
    <row r="38" spans="1:29" x14ac:dyDescent="0.25">
      <c r="A38" s="70" t="s">
        <v>1246</v>
      </c>
      <c r="B38" s="70" t="s">
        <v>1291</v>
      </c>
      <c r="C38" s="2" t="s">
        <v>1208</v>
      </c>
      <c r="D38" s="60">
        <v>3</v>
      </c>
      <c r="E38" s="105"/>
      <c r="F38" s="105"/>
      <c r="G38" s="107">
        <v>2</v>
      </c>
      <c r="H38" s="122"/>
      <c r="I38" s="106" t="e">
        <v>#N/A</v>
      </c>
      <c r="J38" s="123"/>
      <c r="K38" s="106" t="e">
        <v>#N/A</v>
      </c>
      <c r="L38" s="123"/>
      <c r="M38" s="106" t="e">
        <v>#N/A</v>
      </c>
      <c r="N38" s="123"/>
      <c r="O38" s="107" t="e">
        <v>#N/A</v>
      </c>
      <c r="P38" s="123"/>
      <c r="Q38" s="107" t="e">
        <v>#N/A</v>
      </c>
      <c r="R38" s="123"/>
      <c r="S38" s="107" t="e">
        <v>#N/A</v>
      </c>
      <c r="T38" s="123"/>
      <c r="U38" s="107" t="e">
        <v>#N/A</v>
      </c>
      <c r="V38" s="123"/>
      <c r="W38" s="106"/>
      <c r="X38" s="123"/>
      <c r="Y38" s="106"/>
      <c r="Z38" s="123"/>
      <c r="AA38" s="106"/>
      <c r="AB38" s="123"/>
      <c r="AC38" s="2" t="s">
        <v>1232</v>
      </c>
    </row>
    <row r="39" spans="1:29" x14ac:dyDescent="0.25">
      <c r="A39" s="75" t="s">
        <v>1247</v>
      </c>
      <c r="B39" s="75" t="s">
        <v>1291</v>
      </c>
      <c r="C39" s="2" t="s">
        <v>1208</v>
      </c>
      <c r="D39" s="60">
        <v>2</v>
      </c>
      <c r="E39" s="105"/>
      <c r="F39" s="105"/>
      <c r="G39" s="107">
        <v>4</v>
      </c>
      <c r="H39" s="122"/>
      <c r="I39" s="106" t="e">
        <v>#N/A</v>
      </c>
      <c r="J39" s="123"/>
      <c r="K39" s="106" t="e">
        <v>#N/A</v>
      </c>
      <c r="L39" s="123"/>
      <c r="M39" s="106" t="e">
        <v>#N/A</v>
      </c>
      <c r="N39" s="123"/>
      <c r="O39" s="107" t="e">
        <v>#N/A</v>
      </c>
      <c r="P39" s="123"/>
      <c r="Q39" s="107">
        <v>3</v>
      </c>
      <c r="R39" s="123"/>
      <c r="S39" s="107">
        <v>1</v>
      </c>
      <c r="T39" s="123"/>
      <c r="U39" s="107" t="e">
        <v>#N/A</v>
      </c>
      <c r="V39" s="123"/>
      <c r="W39" s="106"/>
      <c r="X39" s="123"/>
      <c r="Y39" s="106"/>
      <c r="Z39" s="123"/>
      <c r="AA39" s="106"/>
      <c r="AB39" s="123"/>
      <c r="AC39" s="2" t="s">
        <v>1232</v>
      </c>
    </row>
    <row r="40" spans="1:29" x14ac:dyDescent="0.25">
      <c r="A40" s="2" t="s">
        <v>1248</v>
      </c>
      <c r="B40" s="2" t="s">
        <v>1291</v>
      </c>
      <c r="C40" s="2" t="s">
        <v>989</v>
      </c>
      <c r="D40" s="60">
        <v>2</v>
      </c>
      <c r="E40" s="105"/>
      <c r="F40" s="105"/>
      <c r="G40" s="107">
        <v>2</v>
      </c>
      <c r="H40" s="122"/>
      <c r="I40" s="106" t="e">
        <v>#N/A</v>
      </c>
      <c r="J40" s="123"/>
      <c r="K40" s="106" t="e">
        <v>#N/A</v>
      </c>
      <c r="L40" s="123"/>
      <c r="M40" s="106" t="e">
        <v>#N/A</v>
      </c>
      <c r="N40" s="123"/>
      <c r="O40" s="107" t="e">
        <v>#N/A</v>
      </c>
      <c r="P40" s="123"/>
      <c r="Q40" s="107" t="e">
        <v>#N/A</v>
      </c>
      <c r="R40" s="123"/>
      <c r="S40" s="107">
        <v>3</v>
      </c>
      <c r="T40" s="123"/>
      <c r="U40" s="107" t="e">
        <v>#N/A</v>
      </c>
      <c r="V40" s="123"/>
      <c r="W40" s="106"/>
      <c r="X40" s="123"/>
      <c r="Y40" s="106"/>
      <c r="Z40" s="123"/>
      <c r="AA40" s="106"/>
      <c r="AB40" s="123"/>
      <c r="AC40" s="2" t="s">
        <v>1232</v>
      </c>
    </row>
    <row r="41" spans="1:29" x14ac:dyDescent="0.25">
      <c r="A41" s="2" t="s">
        <v>1249</v>
      </c>
      <c r="B41" s="2" t="s">
        <v>1291</v>
      </c>
      <c r="C41" s="2" t="s">
        <v>1292</v>
      </c>
      <c r="D41" s="60" t="e">
        <v>#N/A</v>
      </c>
      <c r="E41" s="105"/>
      <c r="F41" s="105"/>
      <c r="G41" s="106" t="e">
        <v>#N/A</v>
      </c>
      <c r="H41" s="123"/>
      <c r="I41" s="106" t="e">
        <v>#N/A</v>
      </c>
      <c r="J41" s="123"/>
      <c r="K41" s="106" t="e">
        <v>#N/A</v>
      </c>
      <c r="L41" s="123"/>
      <c r="M41" s="106" t="e">
        <v>#N/A</v>
      </c>
      <c r="N41" s="123"/>
      <c r="O41" s="107" t="e">
        <v>#N/A</v>
      </c>
      <c r="P41" s="123"/>
      <c r="Q41" s="107" t="e">
        <v>#N/A</v>
      </c>
      <c r="R41" s="123"/>
      <c r="S41" s="107" t="e">
        <v>#N/A</v>
      </c>
      <c r="T41" s="123"/>
      <c r="U41" s="107" t="e">
        <v>#N/A</v>
      </c>
      <c r="V41" s="123"/>
      <c r="W41" s="106"/>
      <c r="X41" s="123"/>
      <c r="Y41" s="106"/>
      <c r="Z41" s="123"/>
      <c r="AA41" s="106"/>
      <c r="AB41" s="123"/>
      <c r="AC41" s="2" t="s">
        <v>1250</v>
      </c>
    </row>
    <row r="42" spans="1:29" x14ac:dyDescent="0.25">
      <c r="A42" s="75" t="s">
        <v>1251</v>
      </c>
      <c r="B42" s="75" t="s">
        <v>1291</v>
      </c>
      <c r="C42" s="2" t="s">
        <v>1292</v>
      </c>
      <c r="D42" s="60">
        <v>3</v>
      </c>
      <c r="E42" s="105"/>
      <c r="F42" s="105"/>
      <c r="G42" s="107">
        <v>3</v>
      </c>
      <c r="H42" s="121"/>
      <c r="I42" s="107">
        <v>3</v>
      </c>
      <c r="J42" s="121"/>
      <c r="K42" s="107">
        <v>3</v>
      </c>
      <c r="L42" s="121">
        <v>3</v>
      </c>
      <c r="M42" s="107">
        <v>3</v>
      </c>
      <c r="N42" s="121"/>
      <c r="O42" s="107">
        <v>3</v>
      </c>
      <c r="P42" s="121"/>
      <c r="Q42" s="107">
        <v>4</v>
      </c>
      <c r="R42" s="121"/>
      <c r="S42" s="107" t="e">
        <v>#N/A</v>
      </c>
      <c r="T42" s="121"/>
      <c r="U42" s="107">
        <v>3</v>
      </c>
      <c r="V42" s="121"/>
      <c r="W42" s="107"/>
      <c r="X42" s="121"/>
      <c r="Y42" s="107"/>
      <c r="Z42" s="121"/>
      <c r="AA42" s="107"/>
      <c r="AB42" s="121"/>
      <c r="AC42" s="2" t="s">
        <v>1253</v>
      </c>
    </row>
    <row r="43" spans="1:29" x14ac:dyDescent="0.25">
      <c r="A43" s="70" t="s">
        <v>1043</v>
      </c>
      <c r="B43" s="70" t="s">
        <v>1291</v>
      </c>
      <c r="C43" s="2" t="s">
        <v>1292</v>
      </c>
      <c r="D43" s="60">
        <v>3</v>
      </c>
      <c r="E43" s="105"/>
      <c r="F43" s="105"/>
      <c r="G43" s="107">
        <v>3</v>
      </c>
      <c r="H43" s="122"/>
      <c r="I43" s="106" t="e">
        <v>#N/A</v>
      </c>
      <c r="J43" s="123"/>
      <c r="K43" s="106" t="e">
        <v>#N/A</v>
      </c>
      <c r="L43" s="123"/>
      <c r="M43" s="106" t="e">
        <v>#N/A</v>
      </c>
      <c r="N43" s="123"/>
      <c r="O43" s="107" t="e">
        <v>#N/A</v>
      </c>
      <c r="P43" s="123"/>
      <c r="Q43" s="107">
        <v>4</v>
      </c>
      <c r="R43" s="123"/>
      <c r="S43" s="107">
        <v>4</v>
      </c>
      <c r="T43" s="123"/>
      <c r="U43" s="107">
        <v>3</v>
      </c>
      <c r="V43" s="123"/>
      <c r="W43" s="106"/>
      <c r="X43" s="123"/>
      <c r="Y43" s="106"/>
      <c r="Z43" s="123"/>
      <c r="AA43" s="106"/>
      <c r="AB43" s="123"/>
      <c r="AC43" s="2" t="s">
        <v>1254</v>
      </c>
    </row>
    <row r="44" spans="1:29" x14ac:dyDescent="0.25">
      <c r="A44" s="70" t="s">
        <v>1044</v>
      </c>
      <c r="B44" s="70" t="s">
        <v>1291</v>
      </c>
      <c r="C44" s="2" t="s">
        <v>1292</v>
      </c>
      <c r="D44" s="60">
        <v>4</v>
      </c>
      <c r="E44" s="105"/>
      <c r="F44" s="105"/>
      <c r="G44" s="107">
        <v>3</v>
      </c>
      <c r="H44" s="121"/>
      <c r="I44" s="107">
        <v>3</v>
      </c>
      <c r="J44" s="121"/>
      <c r="K44" s="107">
        <v>3</v>
      </c>
      <c r="L44" s="121"/>
      <c r="M44" s="107">
        <v>3</v>
      </c>
      <c r="N44" s="121"/>
      <c r="O44" s="107">
        <v>3</v>
      </c>
      <c r="P44" s="121"/>
      <c r="Q44" s="107" t="e">
        <v>#N/A</v>
      </c>
      <c r="R44" s="121"/>
      <c r="S44" s="107" t="e">
        <v>#N/A</v>
      </c>
      <c r="T44" s="121"/>
      <c r="U44" s="107" t="e">
        <v>#N/A</v>
      </c>
      <c r="V44" s="121"/>
      <c r="W44" s="107"/>
      <c r="X44" s="121"/>
      <c r="Y44" s="107"/>
      <c r="Z44" s="121"/>
      <c r="AA44" s="107"/>
      <c r="AB44" s="121"/>
      <c r="AC44" s="2" t="s">
        <v>1250</v>
      </c>
    </row>
    <row r="45" spans="1:29" x14ac:dyDescent="0.25">
      <c r="A45" s="2" t="s">
        <v>1256</v>
      </c>
      <c r="B45" s="2" t="s">
        <v>1291</v>
      </c>
      <c r="C45" s="2" t="s">
        <v>1292</v>
      </c>
      <c r="D45" s="60">
        <v>3</v>
      </c>
      <c r="E45" s="105"/>
      <c r="F45" s="105"/>
      <c r="G45" s="106" t="e">
        <v>#N/A</v>
      </c>
      <c r="H45" s="123"/>
      <c r="I45" s="106" t="e">
        <v>#N/A</v>
      </c>
      <c r="J45" s="123"/>
      <c r="K45" s="106" t="e">
        <v>#N/A</v>
      </c>
      <c r="L45" s="123"/>
      <c r="M45" s="106" t="e">
        <v>#N/A</v>
      </c>
      <c r="N45" s="123"/>
      <c r="O45" s="107" t="e">
        <v>#N/A</v>
      </c>
      <c r="P45" s="123"/>
      <c r="Q45" s="107" t="e">
        <v>#N/A</v>
      </c>
      <c r="R45" s="123"/>
      <c r="S45" s="107" t="e">
        <v>#N/A</v>
      </c>
      <c r="T45" s="123"/>
      <c r="U45" s="107">
        <v>3</v>
      </c>
      <c r="V45" s="123"/>
      <c r="W45" s="106"/>
      <c r="X45" s="123"/>
      <c r="Y45" s="106"/>
      <c r="Z45" s="123"/>
      <c r="AA45" s="106"/>
      <c r="AB45" s="123"/>
      <c r="AC45" s="2" t="s">
        <v>1232</v>
      </c>
    </row>
    <row r="46" spans="1:29" x14ac:dyDescent="0.25">
      <c r="A46" s="2" t="s">
        <v>1258</v>
      </c>
      <c r="B46" s="2" t="s">
        <v>1291</v>
      </c>
      <c r="C46" s="2" t="s">
        <v>1292</v>
      </c>
      <c r="D46" s="60" t="e">
        <v>#N/A</v>
      </c>
      <c r="E46" s="105"/>
      <c r="F46" s="105"/>
      <c r="G46" s="106" t="e">
        <v>#N/A</v>
      </c>
      <c r="H46" s="122"/>
      <c r="I46" s="107">
        <v>3</v>
      </c>
      <c r="J46" s="121"/>
      <c r="K46" s="107">
        <v>3</v>
      </c>
      <c r="L46" s="122"/>
      <c r="M46" s="106" t="e">
        <v>#N/A</v>
      </c>
      <c r="N46" s="123"/>
      <c r="O46" s="107">
        <v>3</v>
      </c>
      <c r="P46" s="123"/>
      <c r="Q46" s="107" t="e">
        <v>#N/A</v>
      </c>
      <c r="R46" s="123"/>
      <c r="S46" s="107" t="e">
        <v>#N/A</v>
      </c>
      <c r="T46" s="123"/>
      <c r="U46" s="107" t="e">
        <v>#N/A</v>
      </c>
      <c r="V46" s="123"/>
      <c r="W46" s="106"/>
      <c r="X46" s="123"/>
      <c r="Y46" s="106"/>
      <c r="Z46" s="123"/>
      <c r="AA46" s="106"/>
      <c r="AB46" s="123"/>
      <c r="AC46" s="2" t="s">
        <v>653</v>
      </c>
    </row>
    <row r="47" spans="1:29" x14ac:dyDescent="0.25">
      <c r="A47" s="2" t="s">
        <v>1259</v>
      </c>
      <c r="B47" s="2" t="s">
        <v>1291</v>
      </c>
      <c r="C47" s="2" t="s">
        <v>1292</v>
      </c>
      <c r="D47" s="60">
        <v>3</v>
      </c>
      <c r="E47" s="105"/>
      <c r="F47" s="105"/>
      <c r="G47" s="106" t="e">
        <v>#N/A</v>
      </c>
      <c r="H47" s="122"/>
      <c r="I47" s="107">
        <v>3</v>
      </c>
      <c r="J47" s="121"/>
      <c r="K47" s="107">
        <v>3</v>
      </c>
      <c r="L47" s="122"/>
      <c r="M47" s="106" t="e">
        <v>#N/A</v>
      </c>
      <c r="N47" s="123"/>
      <c r="O47" s="107">
        <v>3</v>
      </c>
      <c r="P47" s="123"/>
      <c r="Q47" s="107">
        <v>3</v>
      </c>
      <c r="R47" s="123"/>
      <c r="S47" s="107" t="e">
        <v>#N/A</v>
      </c>
      <c r="T47" s="123"/>
      <c r="U47" s="107" t="e">
        <v>#N/A</v>
      </c>
      <c r="V47" s="123"/>
      <c r="W47" s="106"/>
      <c r="X47" s="123"/>
      <c r="Y47" s="106"/>
      <c r="Z47" s="123"/>
      <c r="AA47" s="106"/>
      <c r="AB47" s="123"/>
      <c r="AC47" s="2" t="s">
        <v>1214</v>
      </c>
    </row>
    <row r="48" spans="1:29" x14ac:dyDescent="0.25">
      <c r="A48" s="70" t="s">
        <v>1261</v>
      </c>
      <c r="B48" s="70" t="s">
        <v>1291</v>
      </c>
      <c r="C48" s="2" t="s">
        <v>1292</v>
      </c>
      <c r="D48" s="60">
        <v>4</v>
      </c>
      <c r="E48" s="105"/>
      <c r="F48" s="105"/>
      <c r="G48" s="106" t="e">
        <v>#N/A</v>
      </c>
      <c r="H48" s="122"/>
      <c r="I48" s="107">
        <v>4</v>
      </c>
      <c r="J48" s="121"/>
      <c r="K48" s="107">
        <v>2</v>
      </c>
      <c r="L48" s="121"/>
      <c r="M48" s="107">
        <v>2</v>
      </c>
      <c r="N48" s="121"/>
      <c r="O48" s="107">
        <v>4</v>
      </c>
      <c r="P48" s="121"/>
      <c r="Q48" s="107">
        <v>4</v>
      </c>
      <c r="R48" s="121"/>
      <c r="S48" s="107">
        <v>4</v>
      </c>
      <c r="T48" s="121"/>
      <c r="U48" s="107" t="e">
        <v>#N/A</v>
      </c>
      <c r="V48" s="121"/>
      <c r="W48" s="107"/>
      <c r="X48" s="121"/>
      <c r="Y48" s="107"/>
      <c r="Z48" s="121"/>
      <c r="AA48" s="107"/>
      <c r="AB48" s="121"/>
      <c r="AC48" s="2" t="s">
        <v>1209</v>
      </c>
    </row>
    <row r="49" spans="1:29" x14ac:dyDescent="0.25">
      <c r="A49" s="75" t="s">
        <v>1262</v>
      </c>
      <c r="B49" s="75" t="s">
        <v>1291</v>
      </c>
      <c r="C49" s="2" t="s">
        <v>1296</v>
      </c>
      <c r="D49" s="60">
        <v>4</v>
      </c>
      <c r="E49" s="105"/>
      <c r="F49" s="105"/>
      <c r="G49" s="107">
        <v>2</v>
      </c>
      <c r="H49" s="121"/>
      <c r="I49" s="107">
        <v>3</v>
      </c>
      <c r="J49" s="121"/>
      <c r="K49" s="107">
        <v>3</v>
      </c>
      <c r="L49" s="122"/>
      <c r="M49" s="106" t="e">
        <v>#N/A</v>
      </c>
      <c r="N49" s="123"/>
      <c r="O49" s="107">
        <v>3</v>
      </c>
      <c r="P49" s="123"/>
      <c r="Q49" s="107">
        <v>3</v>
      </c>
      <c r="R49" s="123"/>
      <c r="S49" s="107">
        <v>3</v>
      </c>
      <c r="T49" s="123"/>
      <c r="U49" s="107">
        <v>3</v>
      </c>
      <c r="V49" s="123"/>
      <c r="W49" s="106"/>
      <c r="X49" s="123"/>
      <c r="Y49" s="106"/>
      <c r="Z49" s="123"/>
      <c r="AA49" s="106"/>
      <c r="AB49" s="123"/>
      <c r="AC49" s="2" t="s">
        <v>1263</v>
      </c>
    </row>
    <row r="50" spans="1:29" x14ac:dyDescent="0.25">
      <c r="A50" s="70" t="s">
        <v>1264</v>
      </c>
      <c r="B50" s="70" t="s">
        <v>1291</v>
      </c>
      <c r="C50" s="2" t="s">
        <v>1292</v>
      </c>
      <c r="D50" s="60">
        <v>3</v>
      </c>
      <c r="E50" s="105"/>
      <c r="F50" s="105"/>
      <c r="G50" s="107">
        <v>3</v>
      </c>
      <c r="H50" s="121"/>
      <c r="I50" s="107">
        <v>3</v>
      </c>
      <c r="J50" s="121"/>
      <c r="K50" s="107">
        <v>3</v>
      </c>
      <c r="L50" s="122"/>
      <c r="M50" s="106" t="e">
        <v>#N/A</v>
      </c>
      <c r="N50" s="123"/>
      <c r="O50" s="107">
        <v>3</v>
      </c>
      <c r="P50" s="123"/>
      <c r="Q50" s="107">
        <v>3</v>
      </c>
      <c r="R50" s="123"/>
      <c r="S50" s="107">
        <v>3</v>
      </c>
      <c r="T50" s="123"/>
      <c r="U50" s="107">
        <v>4</v>
      </c>
      <c r="V50" s="123"/>
      <c r="W50" s="106"/>
      <c r="X50" s="123"/>
      <c r="Y50" s="106"/>
      <c r="Z50" s="123"/>
      <c r="AA50" s="106"/>
      <c r="AB50" s="123"/>
      <c r="AC50" s="2" t="s">
        <v>1265</v>
      </c>
    </row>
    <row r="51" spans="1:29" x14ac:dyDescent="0.25">
      <c r="A51" s="70" t="s">
        <v>1058</v>
      </c>
      <c r="B51" s="70" t="s">
        <v>1291</v>
      </c>
      <c r="C51" s="2" t="s">
        <v>1292</v>
      </c>
      <c r="D51" s="60" t="e">
        <v>#N/A</v>
      </c>
      <c r="E51" s="105"/>
      <c r="F51" s="105"/>
      <c r="G51" s="107">
        <v>4</v>
      </c>
      <c r="H51" s="121"/>
      <c r="I51" s="107">
        <v>4</v>
      </c>
      <c r="J51" s="121"/>
      <c r="K51" s="107">
        <v>4</v>
      </c>
      <c r="L51" s="121"/>
      <c r="M51" s="107">
        <v>4</v>
      </c>
      <c r="N51" s="121"/>
      <c r="O51" s="107">
        <v>4</v>
      </c>
      <c r="P51" s="121"/>
      <c r="Q51" s="107">
        <v>4</v>
      </c>
      <c r="R51" s="121"/>
      <c r="S51" s="107">
        <v>4</v>
      </c>
      <c r="T51" s="121"/>
      <c r="U51" s="107">
        <v>4</v>
      </c>
      <c r="V51" s="121"/>
      <c r="W51" s="107"/>
      <c r="X51" s="121"/>
      <c r="Y51" s="107"/>
      <c r="Z51" s="121"/>
      <c r="AA51" s="107"/>
      <c r="AB51" s="121"/>
      <c r="AC51" s="76" t="s">
        <v>114</v>
      </c>
    </row>
    <row r="52" spans="1:29" x14ac:dyDescent="0.25">
      <c r="A52" s="2" t="s">
        <v>1297</v>
      </c>
      <c r="B52" s="2" t="s">
        <v>1291</v>
      </c>
      <c r="C52" s="2" t="s">
        <v>1292</v>
      </c>
      <c r="D52" s="60">
        <v>3</v>
      </c>
      <c r="E52" s="105"/>
      <c r="F52" s="105"/>
      <c r="G52" s="106" t="e">
        <v>#N/A</v>
      </c>
      <c r="H52" s="122"/>
      <c r="I52" s="107">
        <v>3</v>
      </c>
      <c r="J52" s="121"/>
      <c r="K52" s="107">
        <v>3</v>
      </c>
      <c r="L52" s="122"/>
      <c r="M52" s="106" t="e">
        <v>#N/A</v>
      </c>
      <c r="N52" s="123"/>
      <c r="O52" s="107">
        <v>3</v>
      </c>
      <c r="P52" s="123"/>
      <c r="Q52" s="107">
        <v>3</v>
      </c>
      <c r="R52" s="123"/>
      <c r="S52" s="107" t="e">
        <v>#N/A</v>
      </c>
      <c r="T52" s="123"/>
      <c r="U52" s="107" t="e">
        <v>#N/A</v>
      </c>
      <c r="V52" s="123"/>
      <c r="W52" s="106"/>
      <c r="X52" s="123"/>
      <c r="Y52" s="106"/>
      <c r="Z52" s="123"/>
      <c r="AA52" s="106"/>
      <c r="AB52" s="123"/>
      <c r="AC52" s="2" t="s">
        <v>653</v>
      </c>
    </row>
    <row r="53" spans="1:29" x14ac:dyDescent="0.25">
      <c r="A53" s="70" t="s">
        <v>1267</v>
      </c>
      <c r="B53" s="70" t="s">
        <v>1291</v>
      </c>
      <c r="C53" s="2" t="s">
        <v>1296</v>
      </c>
      <c r="D53" s="60">
        <v>4</v>
      </c>
      <c r="E53" s="105"/>
      <c r="F53" s="105"/>
      <c r="G53" s="107">
        <v>2</v>
      </c>
      <c r="H53" s="121"/>
      <c r="I53" s="107">
        <v>2</v>
      </c>
      <c r="J53" s="121"/>
      <c r="K53" s="107">
        <v>2</v>
      </c>
      <c r="L53" s="122"/>
      <c r="M53" s="106" t="e">
        <v>#N/A</v>
      </c>
      <c r="N53" s="123"/>
      <c r="O53" s="107">
        <v>2</v>
      </c>
      <c r="P53" s="123"/>
      <c r="Q53" s="107">
        <v>3</v>
      </c>
      <c r="R53" s="123"/>
      <c r="S53" s="107">
        <v>3</v>
      </c>
      <c r="T53" s="123"/>
      <c r="U53" s="107">
        <v>2</v>
      </c>
      <c r="V53" s="123"/>
      <c r="W53" s="106"/>
      <c r="X53" s="123"/>
      <c r="Y53" s="106"/>
      <c r="Z53" s="123"/>
      <c r="AA53" s="106"/>
      <c r="AB53" s="123"/>
      <c r="AC53" s="2" t="s">
        <v>81</v>
      </c>
    </row>
    <row r="54" spans="1:29" x14ac:dyDescent="0.25">
      <c r="A54" s="2" t="s">
        <v>1268</v>
      </c>
      <c r="B54" s="2" t="s">
        <v>1291</v>
      </c>
      <c r="C54" s="2" t="s">
        <v>1292</v>
      </c>
      <c r="D54" s="60" t="e">
        <v>#N/A</v>
      </c>
      <c r="E54" s="105"/>
      <c r="F54" s="105"/>
      <c r="G54" s="106" t="e">
        <v>#N/A</v>
      </c>
      <c r="H54" s="122"/>
      <c r="I54" s="107">
        <v>3</v>
      </c>
      <c r="J54" s="121"/>
      <c r="K54" s="107">
        <v>3</v>
      </c>
      <c r="L54" s="122"/>
      <c r="M54" s="106" t="e">
        <v>#N/A</v>
      </c>
      <c r="N54" s="123"/>
      <c r="O54" s="107">
        <v>3</v>
      </c>
      <c r="P54" s="123"/>
      <c r="Q54" s="107">
        <v>3</v>
      </c>
      <c r="R54" s="123"/>
      <c r="S54" s="107" t="e">
        <v>#N/A</v>
      </c>
      <c r="T54" s="123"/>
      <c r="U54" s="107" t="e">
        <v>#N/A</v>
      </c>
      <c r="V54" s="123"/>
      <c r="W54" s="106"/>
      <c r="X54" s="123"/>
      <c r="Y54" s="106"/>
      <c r="Z54" s="123"/>
      <c r="AA54" s="106"/>
      <c r="AB54" s="123"/>
      <c r="AC54" s="2" t="s">
        <v>653</v>
      </c>
    </row>
    <row r="55" spans="1:29" x14ac:dyDescent="0.25">
      <c r="A55" s="70" t="s">
        <v>865</v>
      </c>
      <c r="B55" s="70" t="s">
        <v>1291</v>
      </c>
      <c r="C55" s="2" t="s">
        <v>1292</v>
      </c>
      <c r="D55" s="60">
        <v>3</v>
      </c>
      <c r="E55" s="105"/>
      <c r="F55" s="105"/>
      <c r="G55" s="107">
        <v>3</v>
      </c>
      <c r="H55" s="121"/>
      <c r="I55" s="107">
        <v>3</v>
      </c>
      <c r="J55" s="122"/>
      <c r="K55" s="106" t="e">
        <v>#N/A</v>
      </c>
      <c r="L55" s="123"/>
      <c r="M55" s="106" t="e">
        <v>#N/A</v>
      </c>
      <c r="N55" s="123"/>
      <c r="O55" s="107">
        <v>4</v>
      </c>
      <c r="P55" s="123"/>
      <c r="Q55" s="107">
        <v>3</v>
      </c>
      <c r="R55" s="123"/>
      <c r="S55" s="107">
        <v>2</v>
      </c>
      <c r="T55" s="123"/>
      <c r="U55" s="107">
        <v>3</v>
      </c>
      <c r="V55" s="123"/>
      <c r="W55" s="106"/>
      <c r="X55" s="123"/>
      <c r="Y55" s="106"/>
      <c r="Z55" s="123"/>
      <c r="AA55" s="106"/>
      <c r="AB55" s="123"/>
      <c r="AC55" s="2" t="s">
        <v>866</v>
      </c>
    </row>
    <row r="56" spans="1:29" x14ac:dyDescent="0.25">
      <c r="A56" s="70" t="s">
        <v>1270</v>
      </c>
      <c r="B56" s="70" t="s">
        <v>1291</v>
      </c>
      <c r="C56" s="2" t="s">
        <v>1296</v>
      </c>
      <c r="D56" s="60">
        <v>4</v>
      </c>
      <c r="E56" s="105"/>
      <c r="F56" s="105"/>
      <c r="G56" s="106" t="e">
        <v>#N/A</v>
      </c>
      <c r="H56" s="122"/>
      <c r="I56" s="107">
        <v>4</v>
      </c>
      <c r="J56" s="121"/>
      <c r="K56" s="107">
        <v>2</v>
      </c>
      <c r="L56" s="121"/>
      <c r="M56" s="107">
        <v>2</v>
      </c>
      <c r="N56" s="121"/>
      <c r="O56" s="107">
        <v>4</v>
      </c>
      <c r="P56" s="121"/>
      <c r="Q56" s="107">
        <v>4</v>
      </c>
      <c r="R56" s="121"/>
      <c r="S56" s="107">
        <v>4</v>
      </c>
      <c r="T56" s="121"/>
      <c r="U56" s="107" t="e">
        <v>#N/A</v>
      </c>
      <c r="V56" s="121"/>
      <c r="W56" s="107"/>
      <c r="X56" s="121"/>
      <c r="Y56" s="107"/>
      <c r="Z56" s="121"/>
      <c r="AA56" s="107"/>
      <c r="AB56" s="121"/>
      <c r="AC56" s="2" t="s">
        <v>1209</v>
      </c>
    </row>
    <row r="57" spans="1:29" x14ac:dyDescent="0.25">
      <c r="A57" s="2" t="s">
        <v>1271</v>
      </c>
      <c r="B57" s="2" t="s">
        <v>1291</v>
      </c>
      <c r="C57" s="2" t="s">
        <v>1292</v>
      </c>
      <c r="D57" s="60">
        <v>3</v>
      </c>
      <c r="E57" s="105"/>
      <c r="F57" s="105"/>
      <c r="G57" s="106" t="e">
        <v>#N/A</v>
      </c>
      <c r="H57" s="122"/>
      <c r="I57" s="107">
        <v>3</v>
      </c>
      <c r="J57" s="121"/>
      <c r="K57" s="107">
        <v>3</v>
      </c>
      <c r="L57" s="122"/>
      <c r="M57" s="106" t="e">
        <v>#N/A</v>
      </c>
      <c r="N57" s="123"/>
      <c r="O57" s="107">
        <v>3</v>
      </c>
      <c r="P57" s="123"/>
      <c r="Q57" s="107">
        <v>3</v>
      </c>
      <c r="R57" s="123"/>
      <c r="S57" s="107" t="e">
        <v>#N/A</v>
      </c>
      <c r="T57" s="123"/>
      <c r="U57" s="107" t="e">
        <v>#N/A</v>
      </c>
      <c r="V57" s="123"/>
      <c r="W57" s="106"/>
      <c r="X57" s="123"/>
      <c r="Y57" s="106"/>
      <c r="Z57" s="123"/>
      <c r="AA57" s="106"/>
      <c r="AB57" s="123"/>
      <c r="AC57" s="2" t="s">
        <v>653</v>
      </c>
    </row>
    <row r="58" spans="1:29" x14ac:dyDescent="0.25">
      <c r="A58" s="2" t="s">
        <v>1272</v>
      </c>
      <c r="B58" s="2" t="s">
        <v>1291</v>
      </c>
      <c r="C58" s="2" t="s">
        <v>1292</v>
      </c>
      <c r="D58" s="60" t="e">
        <v>#N/A</v>
      </c>
      <c r="E58" s="105"/>
      <c r="F58" s="105"/>
      <c r="G58" s="106" t="e">
        <v>#N/A</v>
      </c>
      <c r="H58" s="123"/>
      <c r="I58" s="106" t="e">
        <v>#N/A</v>
      </c>
      <c r="J58" s="123"/>
      <c r="K58" s="106" t="e">
        <v>#N/A</v>
      </c>
      <c r="L58" s="123"/>
      <c r="M58" s="106" t="e">
        <v>#N/A</v>
      </c>
      <c r="N58" s="123"/>
      <c r="O58" s="107" t="e">
        <v>#N/A</v>
      </c>
      <c r="P58" s="123"/>
      <c r="Q58" s="107" t="e">
        <v>#N/A</v>
      </c>
      <c r="R58" s="123"/>
      <c r="S58" s="107" t="e">
        <v>#N/A</v>
      </c>
      <c r="T58" s="123"/>
      <c r="U58" s="107" t="e">
        <v>#N/A</v>
      </c>
      <c r="V58" s="123"/>
      <c r="W58" s="106"/>
      <c r="X58" s="123"/>
      <c r="Y58" s="106"/>
      <c r="Z58" s="123"/>
      <c r="AA58" s="106"/>
      <c r="AB58" s="123"/>
      <c r="AC58" s="2" t="s">
        <v>1273</v>
      </c>
    </row>
    <row r="59" spans="1:29" x14ac:dyDescent="0.25">
      <c r="A59" s="70" t="s">
        <v>1068</v>
      </c>
      <c r="B59" s="70" t="s">
        <v>1291</v>
      </c>
      <c r="C59" s="2" t="s">
        <v>1292</v>
      </c>
      <c r="D59" s="60">
        <v>3</v>
      </c>
      <c r="E59" s="105"/>
      <c r="F59" s="105"/>
      <c r="G59" s="107">
        <v>4</v>
      </c>
      <c r="H59" s="121"/>
      <c r="I59" s="107">
        <v>4</v>
      </c>
      <c r="J59" s="121"/>
      <c r="K59" s="107">
        <v>4</v>
      </c>
      <c r="L59" s="122"/>
      <c r="M59" s="106" t="e">
        <v>#N/A</v>
      </c>
      <c r="N59" s="123"/>
      <c r="O59" s="107">
        <v>4</v>
      </c>
      <c r="P59" s="123"/>
      <c r="Q59" s="107">
        <v>4</v>
      </c>
      <c r="R59" s="123"/>
      <c r="S59" s="107">
        <v>4</v>
      </c>
      <c r="T59" s="123"/>
      <c r="U59" s="107">
        <v>3</v>
      </c>
      <c r="V59" s="123"/>
      <c r="W59" s="106"/>
      <c r="X59" s="123"/>
      <c r="Y59" s="106"/>
      <c r="Z59" s="123"/>
      <c r="AA59" s="106"/>
      <c r="AB59" s="123"/>
      <c r="AC59" s="2" t="s">
        <v>1274</v>
      </c>
    </row>
    <row r="60" spans="1:29" x14ac:dyDescent="0.25">
      <c r="A60" s="2" t="s">
        <v>1298</v>
      </c>
      <c r="B60" s="2" t="s">
        <v>1291</v>
      </c>
      <c r="C60" s="2" t="s">
        <v>1292</v>
      </c>
      <c r="D60" s="60" t="e">
        <v>#N/A</v>
      </c>
      <c r="E60" s="105"/>
      <c r="F60" s="105"/>
      <c r="G60" s="106" t="e">
        <v>#N/A</v>
      </c>
      <c r="H60" s="123"/>
      <c r="I60" s="106" t="e">
        <v>#N/A</v>
      </c>
      <c r="J60" s="123"/>
      <c r="K60" s="106" t="e">
        <v>#N/A</v>
      </c>
      <c r="L60" s="123"/>
      <c r="M60" s="106" t="e">
        <v>#N/A</v>
      </c>
      <c r="N60" s="123"/>
      <c r="O60" s="107" t="e">
        <v>#N/A</v>
      </c>
      <c r="P60" s="123"/>
      <c r="Q60" s="107">
        <v>3</v>
      </c>
      <c r="R60" s="123"/>
      <c r="S60" s="107" t="e">
        <v>#N/A</v>
      </c>
      <c r="T60" s="123"/>
      <c r="U60" s="107" t="e">
        <v>#N/A</v>
      </c>
      <c r="V60" s="123"/>
      <c r="W60" s="106"/>
      <c r="X60" s="123"/>
      <c r="Y60" s="106"/>
      <c r="Z60" s="123"/>
      <c r="AA60" s="106"/>
      <c r="AB60" s="123"/>
      <c r="AC60" s="2"/>
    </row>
    <row r="62" spans="1:29" x14ac:dyDescent="0.25">
      <c r="C62" s="52" t="s">
        <v>953</v>
      </c>
      <c r="D62" s="1" t="s">
        <v>955</v>
      </c>
      <c r="E62" s="1" t="s">
        <v>956</v>
      </c>
      <c r="F62" s="1" t="s">
        <v>956</v>
      </c>
      <c r="G62" s="118" t="s">
        <v>961</v>
      </c>
      <c r="H62" s="119" t="s">
        <v>1278</v>
      </c>
      <c r="I62" s="118" t="s">
        <v>962</v>
      </c>
      <c r="J62" s="119" t="s">
        <v>1279</v>
      </c>
      <c r="K62" s="118" t="s">
        <v>963</v>
      </c>
      <c r="L62" s="119" t="s">
        <v>1280</v>
      </c>
      <c r="M62" s="118" t="s">
        <v>964</v>
      </c>
      <c r="N62" s="120" t="s">
        <v>1281</v>
      </c>
      <c r="O62" s="120" t="s">
        <v>954</v>
      </c>
      <c r="P62" s="120" t="s">
        <v>1282</v>
      </c>
      <c r="Q62" s="120" t="s">
        <v>955</v>
      </c>
      <c r="R62" s="120" t="s">
        <v>1283</v>
      </c>
      <c r="S62" s="120" t="s">
        <v>956</v>
      </c>
      <c r="T62" s="120" t="s">
        <v>1284</v>
      </c>
      <c r="U62" s="120" t="s">
        <v>957</v>
      </c>
      <c r="V62" s="120" t="s">
        <v>1285</v>
      </c>
      <c r="W62" s="120" t="s">
        <v>1286</v>
      </c>
      <c r="X62" s="120" t="s">
        <v>1287</v>
      </c>
      <c r="Y62" s="120" t="s">
        <v>959</v>
      </c>
      <c r="Z62" s="120" t="s">
        <v>1288</v>
      </c>
      <c r="AA62" s="120" t="s">
        <v>1289</v>
      </c>
      <c r="AB62" s="120" t="s">
        <v>1299</v>
      </c>
    </row>
    <row r="63" spans="1:29" x14ac:dyDescent="0.25">
      <c r="C63" s="53" t="s">
        <v>967</v>
      </c>
      <c r="D63" s="108"/>
      <c r="E63" s="109"/>
      <c r="F63" s="109"/>
      <c r="G63" s="132"/>
      <c r="H63" s="133"/>
      <c r="I63" s="132"/>
      <c r="J63" s="133"/>
      <c r="K63" s="132"/>
      <c r="L63" s="133">
        <f>COUNTIF($L$6:$L$60,1)</f>
        <v>0</v>
      </c>
      <c r="M63" s="134">
        <f>COUNTIF($M$6:$M$60,1)</f>
        <v>0</v>
      </c>
      <c r="N63" s="133">
        <f>COUNTIF($N$6:$N$60,1)</f>
        <v>0</v>
      </c>
      <c r="O63" s="132">
        <f>COUNTIF($O$6:$O$60,1)</f>
        <v>0</v>
      </c>
      <c r="P63" s="133">
        <f>COUNTIF(P6:$P$60,1)</f>
        <v>0</v>
      </c>
      <c r="Q63" s="132">
        <f>COUNTIF($Q$6:$Q$60,1)</f>
        <v>0</v>
      </c>
      <c r="R63" s="133">
        <f>COUNTIF($R$6:$R$60,1)</f>
        <v>0</v>
      </c>
      <c r="S63" s="132">
        <f t="shared" ref="S63:AB63" si="0">COUNTIF(S6:S60,1)</f>
        <v>1</v>
      </c>
      <c r="T63" s="133">
        <f t="shared" si="0"/>
        <v>0</v>
      </c>
      <c r="U63" s="132">
        <f t="shared" si="0"/>
        <v>1</v>
      </c>
      <c r="V63" s="133">
        <f t="shared" si="0"/>
        <v>0</v>
      </c>
      <c r="W63" s="132">
        <f t="shared" si="0"/>
        <v>0</v>
      </c>
      <c r="X63" s="133">
        <f t="shared" si="0"/>
        <v>0</v>
      </c>
      <c r="Y63" s="132">
        <f t="shared" si="0"/>
        <v>0</v>
      </c>
      <c r="Z63" s="133">
        <f t="shared" si="0"/>
        <v>0</v>
      </c>
      <c r="AA63" s="132">
        <f t="shared" si="0"/>
        <v>0</v>
      </c>
      <c r="AB63" s="133">
        <f t="shared" si="0"/>
        <v>0</v>
      </c>
    </row>
    <row r="64" spans="1:29" x14ac:dyDescent="0.25">
      <c r="C64" s="54" t="s">
        <v>968</v>
      </c>
      <c r="D64" s="38"/>
      <c r="E64" s="110"/>
      <c r="F64" s="110"/>
      <c r="G64" s="127">
        <v>5</v>
      </c>
      <c r="H64" s="128"/>
      <c r="I64" s="127">
        <v>1</v>
      </c>
      <c r="J64" s="128"/>
      <c r="K64" s="127">
        <v>4</v>
      </c>
      <c r="L64" s="133">
        <f>COUNTIF($L$6:$L$60,2)</f>
        <v>0</v>
      </c>
      <c r="M64" s="134">
        <f>COUNTIF($M$6:$M$60,2)</f>
        <v>4</v>
      </c>
      <c r="N64" s="128">
        <f>COUNTIF($N$6:$N$60,2)</f>
        <v>0</v>
      </c>
      <c r="O64" s="132">
        <f>COUNTIF($O$6:$O$60,2)</f>
        <v>2</v>
      </c>
      <c r="P64" s="133">
        <f>COUNTIF(P7:$P$60,2)</f>
        <v>0</v>
      </c>
      <c r="Q64" s="132">
        <f>COUNTIF($Q$6:$Q$60,2)</f>
        <v>0</v>
      </c>
      <c r="R64" s="133">
        <f>COUNTIF($R$6:$R$60,2)</f>
        <v>0</v>
      </c>
      <c r="S64" s="132">
        <f t="shared" ref="S64:AB64" si="1">COUNTIF(S7:S61,2)</f>
        <v>2</v>
      </c>
      <c r="T64" s="133">
        <f t="shared" si="1"/>
        <v>0</v>
      </c>
      <c r="U64" s="132">
        <f t="shared" si="1"/>
        <v>5</v>
      </c>
      <c r="V64" s="133">
        <f t="shared" si="1"/>
        <v>0</v>
      </c>
      <c r="W64" s="132">
        <f t="shared" si="1"/>
        <v>0</v>
      </c>
      <c r="X64" s="133">
        <f t="shared" si="1"/>
        <v>0</v>
      </c>
      <c r="Y64" s="132">
        <f t="shared" si="1"/>
        <v>0</v>
      </c>
      <c r="Z64" s="133">
        <f t="shared" si="1"/>
        <v>0</v>
      </c>
      <c r="AA64" s="132">
        <f t="shared" si="1"/>
        <v>0</v>
      </c>
      <c r="AB64" s="133">
        <f t="shared" si="1"/>
        <v>0</v>
      </c>
    </row>
    <row r="65" spans="3:28" x14ac:dyDescent="0.25">
      <c r="C65" s="54" t="s">
        <v>969</v>
      </c>
      <c r="D65" s="38"/>
      <c r="E65" s="110"/>
      <c r="F65" s="110"/>
      <c r="G65" s="127">
        <v>11</v>
      </c>
      <c r="H65" s="128"/>
      <c r="I65" s="127">
        <v>14</v>
      </c>
      <c r="J65" s="128">
        <v>1</v>
      </c>
      <c r="K65" s="127">
        <v>15</v>
      </c>
      <c r="L65" s="133">
        <f>COUNTIF($L$6:$L$60,3)</f>
        <v>3</v>
      </c>
      <c r="M65" s="134">
        <f>COUNTIF($M$6:$M$60,3)</f>
        <v>6</v>
      </c>
      <c r="N65" s="128">
        <f>COUNTIF($N$6:$N$60,3)</f>
        <v>0</v>
      </c>
      <c r="O65" s="132">
        <f>COUNTIF($O$6:$O$60,3)</f>
        <v>18</v>
      </c>
      <c r="P65" s="133">
        <f>COUNTIF(P8:$P$60,3)</f>
        <v>0</v>
      </c>
      <c r="Q65" s="132">
        <f>COUNTIF($Q$6:$Q$60,3)</f>
        <v>18</v>
      </c>
      <c r="R65" s="133">
        <f>COUNTIF($R$6:$R$60,3)</f>
        <v>0</v>
      </c>
      <c r="S65" s="132">
        <f t="shared" ref="S65:AB65" si="2">COUNTIF(S8:S62,3)</f>
        <v>11</v>
      </c>
      <c r="T65" s="133">
        <f t="shared" si="2"/>
        <v>0</v>
      </c>
      <c r="U65" s="132">
        <f t="shared" si="2"/>
        <v>12</v>
      </c>
      <c r="V65" s="133">
        <f t="shared" si="2"/>
        <v>0</v>
      </c>
      <c r="W65" s="132">
        <f t="shared" si="2"/>
        <v>0</v>
      </c>
      <c r="X65" s="133">
        <f t="shared" si="2"/>
        <v>0</v>
      </c>
      <c r="Y65" s="132">
        <f t="shared" si="2"/>
        <v>0</v>
      </c>
      <c r="Z65" s="133">
        <f t="shared" si="2"/>
        <v>0</v>
      </c>
      <c r="AA65" s="132">
        <f t="shared" si="2"/>
        <v>0</v>
      </c>
      <c r="AB65" s="133">
        <f t="shared" si="2"/>
        <v>0</v>
      </c>
    </row>
    <row r="66" spans="3:28" x14ac:dyDescent="0.25">
      <c r="C66" s="54" t="s">
        <v>970</v>
      </c>
      <c r="D66" s="38"/>
      <c r="E66" s="110"/>
      <c r="F66" s="110"/>
      <c r="G66" s="127">
        <v>8</v>
      </c>
      <c r="H66" s="128"/>
      <c r="I66" s="127">
        <v>11</v>
      </c>
      <c r="J66" s="128"/>
      <c r="K66" s="127">
        <v>9</v>
      </c>
      <c r="L66" s="133">
        <f>COUNTIF($L$6:$L$60,4)</f>
        <v>0</v>
      </c>
      <c r="M66" s="134">
        <f>COUNTIF($M$6:$M$60,4)</f>
        <v>2</v>
      </c>
      <c r="N66" s="128">
        <f>COUNTIF($N$6:$N$60,4)</f>
        <v>0</v>
      </c>
      <c r="O66" s="132">
        <f>COUNTIF($O$6:$O$60,4)</f>
        <v>16</v>
      </c>
      <c r="P66" s="133">
        <f>COUNTIF(P9:$P$60,4)</f>
        <v>0</v>
      </c>
      <c r="Q66" s="132">
        <f>COUNTIF($Q$6:$Q$60,4)</f>
        <v>14</v>
      </c>
      <c r="R66" s="133">
        <f>COUNTIF($R$6:$R$60,4)</f>
        <v>0</v>
      </c>
      <c r="S66" s="132">
        <f t="shared" ref="S66:AB66" si="3">COUNTIF(S9:S63,4)</f>
        <v>13</v>
      </c>
      <c r="T66" s="133">
        <f t="shared" si="3"/>
        <v>0</v>
      </c>
      <c r="U66" s="132">
        <f t="shared" si="3"/>
        <v>5</v>
      </c>
      <c r="V66" s="133">
        <f t="shared" si="3"/>
        <v>0</v>
      </c>
      <c r="W66" s="132">
        <f t="shared" si="3"/>
        <v>0</v>
      </c>
      <c r="X66" s="133">
        <f t="shared" si="3"/>
        <v>0</v>
      </c>
      <c r="Y66" s="132">
        <f t="shared" si="3"/>
        <v>0</v>
      </c>
      <c r="Z66" s="133">
        <f t="shared" si="3"/>
        <v>0</v>
      </c>
      <c r="AA66" s="132">
        <f t="shared" si="3"/>
        <v>0</v>
      </c>
      <c r="AB66" s="133">
        <f t="shared" si="3"/>
        <v>0</v>
      </c>
    </row>
    <row r="67" spans="3:28" x14ac:dyDescent="0.25">
      <c r="C67" s="54" t="s">
        <v>971</v>
      </c>
      <c r="D67" s="38"/>
      <c r="E67" s="110"/>
      <c r="F67" s="110"/>
      <c r="G67" s="127">
        <v>55</v>
      </c>
      <c r="H67" s="128">
        <v>55</v>
      </c>
      <c r="I67" s="127">
        <v>55</v>
      </c>
      <c r="J67" s="128">
        <v>55</v>
      </c>
      <c r="K67" s="127">
        <v>55</v>
      </c>
      <c r="L67" s="128">
        <v>55</v>
      </c>
      <c r="M67" s="129">
        <v>55</v>
      </c>
      <c r="N67" s="128">
        <v>55</v>
      </c>
      <c r="O67" s="127">
        <v>55</v>
      </c>
      <c r="P67" s="128">
        <v>55</v>
      </c>
      <c r="Q67" s="127">
        <v>55</v>
      </c>
      <c r="R67" s="128">
        <v>55</v>
      </c>
      <c r="S67" s="127">
        <v>55</v>
      </c>
      <c r="T67" s="128">
        <v>55</v>
      </c>
      <c r="U67" s="127">
        <v>55</v>
      </c>
      <c r="V67" s="128">
        <v>55</v>
      </c>
      <c r="W67" s="127">
        <v>55</v>
      </c>
      <c r="X67" s="128">
        <v>55</v>
      </c>
      <c r="Y67" s="127">
        <v>55</v>
      </c>
      <c r="Z67" s="128">
        <v>55</v>
      </c>
      <c r="AA67" s="127">
        <v>55</v>
      </c>
      <c r="AB67" s="128">
        <v>55</v>
      </c>
    </row>
    <row r="68" spans="3:28" ht="13.5" customHeight="1" x14ac:dyDescent="0.25">
      <c r="C68" s="53" t="s">
        <v>1276</v>
      </c>
      <c r="D68" s="38"/>
      <c r="E68" s="110"/>
      <c r="F68" s="110"/>
      <c r="G68" s="127"/>
      <c r="H68" s="128"/>
      <c r="I68" s="127"/>
      <c r="J68" s="128"/>
      <c r="K68" s="127"/>
      <c r="L68" s="128"/>
      <c r="M68" s="129"/>
      <c r="N68" s="128"/>
      <c r="O68" s="127"/>
      <c r="P68" s="128"/>
      <c r="Q68" s="127"/>
      <c r="R68" s="128"/>
      <c r="S68" s="127"/>
      <c r="T68" s="128"/>
      <c r="U68" s="127"/>
      <c r="V68" s="128"/>
      <c r="W68" s="127"/>
      <c r="X68" s="128"/>
      <c r="Y68" s="127"/>
      <c r="Z68" s="128"/>
      <c r="AA68" s="127"/>
      <c r="AB68" s="128"/>
    </row>
    <row r="69" spans="3:28" ht="14.25" customHeight="1" x14ac:dyDescent="0.25">
      <c r="C69" s="53" t="s">
        <v>973</v>
      </c>
      <c r="D69" s="38"/>
      <c r="E69" s="110"/>
      <c r="F69" s="110"/>
      <c r="G69" s="127">
        <v>31</v>
      </c>
      <c r="H69" s="128"/>
      <c r="I69" s="127">
        <v>29</v>
      </c>
      <c r="J69" s="128"/>
      <c r="K69" s="127">
        <v>27</v>
      </c>
      <c r="L69" s="128">
        <f>COUNTIF($L$6:$L$60,#N/A)</f>
        <v>0</v>
      </c>
      <c r="M69" s="129">
        <f>COUNTIFS($M$6:$M$60,#N/A)</f>
        <v>43</v>
      </c>
      <c r="N69" s="128">
        <f>COUNTIFS($N$6:$N$60,#N/A)</f>
        <v>0</v>
      </c>
      <c r="O69" s="127">
        <f>COUNTIFS($O$6:$O$60,#N/A)</f>
        <v>19</v>
      </c>
      <c r="P69" s="128">
        <f>COUNTIFS($P$6:$P$60,#N/A)</f>
        <v>0</v>
      </c>
      <c r="Q69" s="127">
        <f>COUNTIFS($Q$6:$Q$60,#N/A)</f>
        <v>20</v>
      </c>
      <c r="R69" s="128">
        <f>COUNTIFS($R$6:$R$60,#N/A)</f>
        <v>0</v>
      </c>
      <c r="S69" s="127">
        <f t="shared" ref="S69:AB69" si="4">COUNTIF(S6:S60,#N/A)</f>
        <v>26</v>
      </c>
      <c r="T69" s="128">
        <f t="shared" si="4"/>
        <v>0</v>
      </c>
      <c r="U69" s="127">
        <f t="shared" si="4"/>
        <v>32</v>
      </c>
      <c r="V69" s="128">
        <f t="shared" si="4"/>
        <v>0</v>
      </c>
      <c r="W69" s="127">
        <f t="shared" si="4"/>
        <v>0</v>
      </c>
      <c r="X69" s="128">
        <f t="shared" si="4"/>
        <v>0</v>
      </c>
      <c r="Y69" s="127">
        <f t="shared" si="4"/>
        <v>0</v>
      </c>
      <c r="Z69" s="128">
        <f t="shared" si="4"/>
        <v>0</v>
      </c>
      <c r="AA69" s="127">
        <f t="shared" si="4"/>
        <v>0</v>
      </c>
      <c r="AB69" s="128">
        <f t="shared" si="4"/>
        <v>0</v>
      </c>
    </row>
    <row r="70" spans="3:28" ht="22.5" customHeight="1" x14ac:dyDescent="0.25">
      <c r="C70" s="55" t="s">
        <v>974</v>
      </c>
      <c r="D70" s="38"/>
      <c r="E70" s="110"/>
      <c r="F70" s="110"/>
      <c r="G70" s="127">
        <v>24</v>
      </c>
      <c r="H70" s="128"/>
      <c r="I70" s="127">
        <v>26</v>
      </c>
      <c r="J70" s="128">
        <v>1</v>
      </c>
      <c r="K70" s="127">
        <v>28</v>
      </c>
      <c r="L70" s="128">
        <v>3</v>
      </c>
      <c r="M70" s="129">
        <f t="shared" ref="M70:R70" si="5">SUM(M63:M66)</f>
        <v>12</v>
      </c>
      <c r="N70" s="128">
        <f t="shared" si="5"/>
        <v>0</v>
      </c>
      <c r="O70" s="127">
        <f t="shared" si="5"/>
        <v>36</v>
      </c>
      <c r="P70" s="128">
        <f t="shared" si="5"/>
        <v>0</v>
      </c>
      <c r="Q70" s="127">
        <f t="shared" si="5"/>
        <v>32</v>
      </c>
      <c r="R70" s="128">
        <f t="shared" si="5"/>
        <v>0</v>
      </c>
      <c r="S70" s="127">
        <f t="shared" ref="S70:AB70" si="6">SUM(S63:S66)</f>
        <v>27</v>
      </c>
      <c r="T70" s="128">
        <f t="shared" si="6"/>
        <v>0</v>
      </c>
      <c r="U70" s="127">
        <f t="shared" si="6"/>
        <v>23</v>
      </c>
      <c r="V70" s="128">
        <f t="shared" si="6"/>
        <v>0</v>
      </c>
      <c r="W70" s="127">
        <f t="shared" si="6"/>
        <v>0</v>
      </c>
      <c r="X70" s="128">
        <f t="shared" si="6"/>
        <v>0</v>
      </c>
      <c r="Y70" s="127">
        <f t="shared" si="6"/>
        <v>0</v>
      </c>
      <c r="Z70" s="128">
        <f t="shared" si="6"/>
        <v>0</v>
      </c>
      <c r="AA70" s="127">
        <f t="shared" si="6"/>
        <v>0</v>
      </c>
      <c r="AB70" s="128">
        <f t="shared" si="6"/>
        <v>0</v>
      </c>
    </row>
    <row r="71" spans="3:28" x14ac:dyDescent="0.25">
      <c r="C71" s="54" t="s">
        <v>975</v>
      </c>
      <c r="D71" s="38"/>
      <c r="E71" s="110"/>
      <c r="F71" s="110"/>
      <c r="G71" s="130">
        <v>0.8</v>
      </c>
      <c r="H71" s="131"/>
      <c r="I71" s="130">
        <v>0.96</v>
      </c>
      <c r="J71" s="131">
        <v>1</v>
      </c>
      <c r="K71" s="130">
        <v>0.86</v>
      </c>
      <c r="L71" s="131">
        <v>1</v>
      </c>
      <c r="M71" s="135">
        <f t="shared" ref="M71:AB71" si="7">SUM(M65:M66)/SUM(M63:M66)</f>
        <v>0.66666666666666663</v>
      </c>
      <c r="N71" s="131" t="e">
        <f t="shared" si="7"/>
        <v>#DIV/0!</v>
      </c>
      <c r="O71" s="130">
        <f t="shared" si="7"/>
        <v>0.94444444444444442</v>
      </c>
      <c r="P71" s="131" t="e">
        <f t="shared" si="7"/>
        <v>#DIV/0!</v>
      </c>
      <c r="Q71" s="130">
        <f t="shared" si="7"/>
        <v>1</v>
      </c>
      <c r="R71" s="131" t="e">
        <f t="shared" si="7"/>
        <v>#DIV/0!</v>
      </c>
      <c r="S71" s="130">
        <f t="shared" si="7"/>
        <v>0.88888888888888884</v>
      </c>
      <c r="T71" s="131" t="e">
        <f t="shared" si="7"/>
        <v>#DIV/0!</v>
      </c>
      <c r="U71" s="130">
        <f t="shared" si="7"/>
        <v>0.73913043478260865</v>
      </c>
      <c r="V71" s="131" t="e">
        <f t="shared" si="7"/>
        <v>#DIV/0!</v>
      </c>
      <c r="W71" s="130" t="e">
        <f t="shared" si="7"/>
        <v>#DIV/0!</v>
      </c>
      <c r="X71" s="131" t="e">
        <f t="shared" si="7"/>
        <v>#DIV/0!</v>
      </c>
      <c r="Y71" s="130" t="e">
        <f t="shared" si="7"/>
        <v>#DIV/0!</v>
      </c>
      <c r="Z71" s="131" t="e">
        <f t="shared" si="7"/>
        <v>#DIV/0!</v>
      </c>
      <c r="AA71" s="130" t="e">
        <f t="shared" si="7"/>
        <v>#DIV/0!</v>
      </c>
      <c r="AB71" s="131" t="e">
        <f t="shared" si="7"/>
        <v>#DIV/0!</v>
      </c>
    </row>
    <row r="73" spans="3:28" x14ac:dyDescent="0.25">
      <c r="C73" s="52" t="s">
        <v>983</v>
      </c>
      <c r="D73" s="1" t="s">
        <v>955</v>
      </c>
      <c r="E73" s="1" t="s">
        <v>956</v>
      </c>
      <c r="F73" s="1" t="s">
        <v>956</v>
      </c>
      <c r="G73" s="118" t="s">
        <v>961</v>
      </c>
      <c r="H73" s="118" t="s">
        <v>1278</v>
      </c>
      <c r="I73" s="118" t="s">
        <v>962</v>
      </c>
      <c r="J73" s="118" t="s">
        <v>1279</v>
      </c>
      <c r="K73" s="118" t="s">
        <v>963</v>
      </c>
      <c r="L73" s="118" t="s">
        <v>1280</v>
      </c>
      <c r="M73" s="118" t="s">
        <v>964</v>
      </c>
      <c r="N73" s="120" t="s">
        <v>1281</v>
      </c>
      <c r="O73" s="120" t="s">
        <v>954</v>
      </c>
      <c r="P73" s="120" t="s">
        <v>1282</v>
      </c>
      <c r="Q73" s="120" t="s">
        <v>955</v>
      </c>
      <c r="R73" s="120" t="s">
        <v>1283</v>
      </c>
      <c r="S73" s="120" t="s">
        <v>956</v>
      </c>
      <c r="T73" s="120" t="s">
        <v>1284</v>
      </c>
      <c r="U73" s="120" t="s">
        <v>957</v>
      </c>
      <c r="V73" s="120" t="s">
        <v>1285</v>
      </c>
      <c r="W73" s="120" t="s">
        <v>1286</v>
      </c>
      <c r="X73" s="120" t="s">
        <v>1287</v>
      </c>
      <c r="Y73" s="120" t="s">
        <v>959</v>
      </c>
      <c r="Z73" s="120" t="s">
        <v>1288</v>
      </c>
      <c r="AA73" s="120" t="s">
        <v>1289</v>
      </c>
      <c r="AB73" s="120" t="s">
        <v>1299</v>
      </c>
    </row>
    <row r="74" spans="3:28" x14ac:dyDescent="0.25">
      <c r="C74" s="53" t="s">
        <v>967</v>
      </c>
      <c r="D74" s="113"/>
      <c r="E74" s="114"/>
      <c r="F74" s="114"/>
      <c r="G74" s="132"/>
      <c r="H74" s="133"/>
      <c r="I74" s="132"/>
      <c r="J74" s="133"/>
      <c r="K74" s="132">
        <f>COUNTIFS($K$6:$K$60,1,$C$6:$C$60,"Gingko")</f>
        <v>0</v>
      </c>
      <c r="L74" s="133">
        <f>COUNTIFS($L$6:$L$60,1,$C$6:$C$60,"Gingko")</f>
        <v>0</v>
      </c>
      <c r="M74" s="134">
        <f>COUNTIFS($M$6:$M$60,1,$C$6:$C$60,"Ginkgo")</f>
        <v>0</v>
      </c>
      <c r="N74" s="133">
        <f>COUNTIFS($N$6:$N$60,1,$C$6:$C$60,"Ginkgo")</f>
        <v>0</v>
      </c>
      <c r="O74" s="132">
        <f>COUNTIFS($O$6:$O$60,1,$C$6:$C$60,"Ginkgo")</f>
        <v>0</v>
      </c>
      <c r="P74" s="133">
        <f>COUNTIFS($P$6:$P$60,1,$C$6:$C$60,"Ginkgo")</f>
        <v>0</v>
      </c>
      <c r="Q74" s="132">
        <f>COUNTIFS($Q$6:$Q$60,1,$C$6:$C$60,"Ginkgo")</f>
        <v>0</v>
      </c>
      <c r="R74" s="133">
        <f>COUNTIFS($R$6:$R$60,1,$C$6:$C$60,"Ginkgo")</f>
        <v>0</v>
      </c>
      <c r="S74" s="132">
        <f>COUNTIFS(S6:S60,1,C6:C60,"Ginkgo")</f>
        <v>0</v>
      </c>
      <c r="T74" s="133">
        <f>COUNTIFS(T6:T60,1,C6:C60,"Ginkgo")</f>
        <v>0</v>
      </c>
      <c r="U74" s="132">
        <f>COUNTIFS(U6:U60,1,C6:C60,"Ginkgo")</f>
        <v>0</v>
      </c>
      <c r="V74" s="133">
        <f>COUNTIFS(V6:V60,1,C6:C60,"Ginkgo")</f>
        <v>0</v>
      </c>
      <c r="W74" s="132">
        <f>COUNTIFS(W6:W60,1,C6:C60,"Ginkgo")</f>
        <v>0</v>
      </c>
      <c r="X74" s="133">
        <f>COUNTIFS(X6:X60,1,C6:C60,"Gingko")</f>
        <v>0</v>
      </c>
      <c r="Y74" s="132">
        <f>COUNTIFS(Y6:Y60,1,C6:C60,"Ginkgo")</f>
        <v>0</v>
      </c>
      <c r="Z74" s="133">
        <f>COUNTIFS(Z6:Z60,1,C6:C60,"Ginkgo")</f>
        <v>0</v>
      </c>
      <c r="AA74" s="132">
        <f>COUNTIFS(AA6:AA60,1,C6:C60,"Ginkgo")</f>
        <v>0</v>
      </c>
      <c r="AB74" s="133">
        <f>COUNTIFS(AB6:AB60,1,C6:C60,"Ginkgo")</f>
        <v>0</v>
      </c>
    </row>
    <row r="75" spans="3:28" x14ac:dyDescent="0.25">
      <c r="C75" s="54" t="s">
        <v>968</v>
      </c>
      <c r="D75" s="115"/>
      <c r="E75" s="110"/>
      <c r="F75" s="110"/>
      <c r="G75" s="127"/>
      <c r="H75" s="128"/>
      <c r="I75" s="127"/>
      <c r="J75" s="128"/>
      <c r="K75" s="132">
        <f>COUNTIFS($K$6:$K$60,2,$C$6:$C$60,"Gingko")</f>
        <v>2</v>
      </c>
      <c r="L75" s="133">
        <f>COUNTIFS($L$6:$L$60,2,$C$6:$C$60,"Gingko")</f>
        <v>0</v>
      </c>
      <c r="M75" s="134">
        <f>COUNTIFS($M$6:$M$60,2,$C$6:$C$60,"Ginkgo")</f>
        <v>0</v>
      </c>
      <c r="N75" s="133">
        <f>COUNTIFS($N$6:$N$60,2,$C$6:$C$60,"Ginkgo")</f>
        <v>0</v>
      </c>
      <c r="O75" s="132">
        <f>COUNTIFS($O$6:$O$60,2,$C$6:$C$60,"Ginkgo")</f>
        <v>0</v>
      </c>
      <c r="P75" s="133">
        <f>COUNTIFS($P$6:$P$60,2,$C$6:$C$60,"Ginkgo")</f>
        <v>0</v>
      </c>
      <c r="Q75" s="132">
        <f>COUNTIFS($Q$6:$Q$60,2,$C$6:$C$60,"Ginkgo")</f>
        <v>0</v>
      </c>
      <c r="R75" s="133">
        <f>COUNTIFS($R$6:$R$60,2,$C$6:$C$60,"Ginkgo")</f>
        <v>0</v>
      </c>
      <c r="S75" s="132">
        <f>COUNTIFS(S7:S61,2,C7:C61,"Ginkgo")</f>
        <v>0</v>
      </c>
      <c r="T75" s="133">
        <f>COUNTIFS(T7:T61,2,C7:C61,"Ginkgo")</f>
        <v>0</v>
      </c>
      <c r="U75" s="132">
        <f>COUNTIFS(U7:U61,2,C7:C61,"Ginkgo")</f>
        <v>0</v>
      </c>
      <c r="V75" s="133">
        <f>COUNTIFS(V7:V61,2,C7:C61,"Ginkgo")</f>
        <v>0</v>
      </c>
      <c r="W75" s="132">
        <f>COUNTIFS(W7:W61,2,C7:C61,"Ginkgo")</f>
        <v>0</v>
      </c>
      <c r="X75" s="133">
        <f>COUNTIFS(X7:X61,2,C7:C61,"Gingko")</f>
        <v>0</v>
      </c>
      <c r="Y75" s="132">
        <f>COUNTIFS(Y7:Y61,2,C7:C61,"Ginkgo")</f>
        <v>0</v>
      </c>
      <c r="Z75" s="133">
        <f>COUNTIFS(Z7:Z61,2,C7:C61,"Ginkgo")</f>
        <v>0</v>
      </c>
      <c r="AA75" s="132">
        <f>COUNTIFS(AA7:AA61,2,C7:C61,"Ginkgo")</f>
        <v>0</v>
      </c>
      <c r="AB75" s="133">
        <f>COUNTIFS(AB7:AB61,2,C7:C61,"Ginkgo")</f>
        <v>0</v>
      </c>
    </row>
    <row r="76" spans="3:28" x14ac:dyDescent="0.25">
      <c r="C76" s="54" t="s">
        <v>969</v>
      </c>
      <c r="D76" s="115"/>
      <c r="E76" s="110"/>
      <c r="F76" s="110"/>
      <c r="G76" s="127"/>
      <c r="H76" s="128"/>
      <c r="I76" s="127"/>
      <c r="J76" s="128"/>
      <c r="K76" s="132">
        <f>COUNTIFS($K$6:$K$60,3,$C$6:$C$60,"Gingko")</f>
        <v>12</v>
      </c>
      <c r="L76" s="133">
        <f>COUNTIFS($L$6:$L$60,3,$C$6:$C$60,"Gingko")</f>
        <v>3</v>
      </c>
      <c r="M76" s="134">
        <f>COUNTIFS($M$6:$M$60,3,$C$6:$C$60,"Ginkgo")</f>
        <v>0</v>
      </c>
      <c r="N76" s="133">
        <f>COUNTIFS($N$6:$N$60,3,$C$6:$C$60,"Ginkgo")</f>
        <v>0</v>
      </c>
      <c r="O76" s="132">
        <f>COUNTIFS($O$6:$O$60,3,$C$6:$C$60,"Ginkgo")</f>
        <v>0</v>
      </c>
      <c r="P76" s="133">
        <f>COUNTIFS($P$6:$P$60,3,$C$6:$C$60,"Ginkgo")</f>
        <v>0</v>
      </c>
      <c r="Q76" s="132">
        <f>COUNTIFS($Q$6:$Q$60,3,$C$6:$C$60,"Ginkgo")</f>
        <v>0</v>
      </c>
      <c r="R76" s="133">
        <f>COUNTIFS($R$6:$R$60,3,$C$6:$C$60,"Ginkgo")</f>
        <v>0</v>
      </c>
      <c r="S76" s="132">
        <f>COUNTIFS(S8:S62,3,C8:C62,"Ginkgo")</f>
        <v>0</v>
      </c>
      <c r="T76" s="133">
        <f>COUNTIFS(T8:T62,3,C8:C62,"Ginkgo")</f>
        <v>0</v>
      </c>
      <c r="U76" s="132">
        <f>COUNTIFS(U8:U62,3,C8:C62,"Ginkgo")</f>
        <v>0</v>
      </c>
      <c r="V76" s="133">
        <f>COUNTIFS(V8:V62,3,C8:C62,"Ginkgo")</f>
        <v>0</v>
      </c>
      <c r="W76" s="132">
        <f>COUNTIFS(W8:W62,3,C8:C62,"Ginkgo")</f>
        <v>0</v>
      </c>
      <c r="X76" s="133">
        <f>COUNTIFS(X8:X62,3,C8:C62,"Gingko")</f>
        <v>0</v>
      </c>
      <c r="Y76" s="132">
        <f>COUNTIFS(Y8:Y62,3,C8:C62,"Ginkgo")</f>
        <v>0</v>
      </c>
      <c r="Z76" s="133">
        <f>COUNTIFS(Z8:Z62,3,C8:C62,"Ginkgo")</f>
        <v>0</v>
      </c>
      <c r="AA76" s="132">
        <f>COUNTIFS(AA8:AA62,3,C8:C62,"Ginkgo")</f>
        <v>0</v>
      </c>
      <c r="AB76" s="133">
        <f>COUNTIFS(AB8:AB62,3,C8:C62,"Ginkgo")</f>
        <v>0</v>
      </c>
    </row>
    <row r="77" spans="3:28" x14ac:dyDescent="0.25">
      <c r="C77" s="54" t="s">
        <v>970</v>
      </c>
      <c r="D77" s="115"/>
      <c r="E77" s="110"/>
      <c r="F77" s="110"/>
      <c r="G77" s="127"/>
      <c r="H77" s="128"/>
      <c r="I77" s="127"/>
      <c r="J77" s="128"/>
      <c r="K77" s="132">
        <f>COUNTIFS($K$6:$K$60,4,$C$6:$C$60,"Gingko")</f>
        <v>8</v>
      </c>
      <c r="L77" s="133">
        <f>COUNTIFS($L$6:$L$60,4,$C$6:$C$60,"Gingko")</f>
        <v>0</v>
      </c>
      <c r="M77" s="134">
        <f>COUNTIFS($M$6:$M$60,4,$C$6:$C$60,"Ginkgo")</f>
        <v>0</v>
      </c>
      <c r="N77" s="133">
        <f>COUNTIFS($N$6:$N$60,4,$C$6:$C$60,"Ginkgo")</f>
        <v>0</v>
      </c>
      <c r="O77" s="132">
        <f>COUNTIFS($O$6:$O$60,4,$C$6:$C$60,"Ginkgo")</f>
        <v>0</v>
      </c>
      <c r="P77" s="133">
        <f>COUNTIFS($P$6:$P$60,4,$C$6:$C$60,"Ginkgo")</f>
        <v>0</v>
      </c>
      <c r="Q77" s="132">
        <f>COUNTIFS($Q$6:$Q$60,4,$C$6:$C$60,"Ginkgo")</f>
        <v>0</v>
      </c>
      <c r="R77" s="133">
        <f>COUNTIFS($R$6:$R$60,4,$C$6:$C$60,"Ginkgo")</f>
        <v>0</v>
      </c>
      <c r="S77" s="132">
        <f>COUNTIFS(S9:S63,4,C9:C63,"Ginkgo")</f>
        <v>0</v>
      </c>
      <c r="T77" s="133">
        <f>COUNTIFS(T9:T63,4,C9:C63,"Ginkgo")</f>
        <v>0</v>
      </c>
      <c r="U77" s="132">
        <f>COUNTIFS(U9:U63,4,C9:C63,"Ginkgo")</f>
        <v>0</v>
      </c>
      <c r="V77" s="133">
        <f>COUNTIFS(V9:V63,4,C9:C63,"Ginkgo")</f>
        <v>0</v>
      </c>
      <c r="W77" s="132">
        <f>COUNTIFS(W9:W63,4,C9:C63,"Ginkgo")</f>
        <v>0</v>
      </c>
      <c r="X77" s="133">
        <f>COUNTIFS(X9:X63,4,C9:C63,"Gingko")</f>
        <v>0</v>
      </c>
      <c r="Y77" s="132">
        <f>COUNTIFS(Y9:Y63,4,C9:C63,"Ginkgo")</f>
        <v>0</v>
      </c>
      <c r="Z77" s="133">
        <f>COUNTIFS(Z9:Z63,4,C9:C63,"Ginkgo")</f>
        <v>0</v>
      </c>
      <c r="AA77" s="132">
        <f>COUNTIFS(AA9:AA63,4,C9:C63,"Ginkgo")</f>
        <v>0</v>
      </c>
      <c r="AB77" s="133">
        <f>COUNTIFS(AB9:AB63,4,C9:C63,"Ginkgo")</f>
        <v>0</v>
      </c>
    </row>
    <row r="78" spans="3:28" ht="13.5" customHeight="1" x14ac:dyDescent="0.25">
      <c r="C78" s="54" t="s">
        <v>971</v>
      </c>
      <c r="D78" s="115"/>
      <c r="E78" s="110"/>
      <c r="F78" s="110"/>
      <c r="G78" s="127">
        <v>45</v>
      </c>
      <c r="H78" s="128">
        <v>45</v>
      </c>
      <c r="I78" s="127">
        <v>45</v>
      </c>
      <c r="J78" s="128">
        <v>45</v>
      </c>
      <c r="K78" s="127">
        <v>45</v>
      </c>
      <c r="L78" s="128">
        <v>45</v>
      </c>
      <c r="M78" s="129">
        <v>45</v>
      </c>
      <c r="N78" s="128">
        <v>45</v>
      </c>
      <c r="O78" s="127">
        <v>45</v>
      </c>
      <c r="P78" s="128">
        <v>45</v>
      </c>
      <c r="Q78" s="127">
        <v>45</v>
      </c>
      <c r="R78" s="128">
        <v>45</v>
      </c>
      <c r="S78" s="127">
        <v>45</v>
      </c>
      <c r="T78" s="128">
        <v>45</v>
      </c>
      <c r="U78" s="127">
        <v>45</v>
      </c>
      <c r="V78" s="128">
        <v>45</v>
      </c>
      <c r="W78" s="127">
        <v>45</v>
      </c>
      <c r="X78" s="128">
        <v>45</v>
      </c>
      <c r="Y78" s="127">
        <v>45</v>
      </c>
      <c r="Z78" s="128">
        <v>45</v>
      </c>
      <c r="AA78" s="127">
        <v>45</v>
      </c>
      <c r="AB78" s="128">
        <v>45</v>
      </c>
    </row>
    <row r="79" spans="3:28" x14ac:dyDescent="0.25">
      <c r="C79" s="53" t="s">
        <v>1276</v>
      </c>
      <c r="D79" s="115"/>
      <c r="E79" s="110"/>
      <c r="F79" s="110"/>
      <c r="G79" s="127"/>
      <c r="H79" s="128"/>
      <c r="I79" s="127"/>
      <c r="J79" s="128"/>
      <c r="K79" s="127"/>
      <c r="L79" s="128"/>
      <c r="M79" s="129"/>
      <c r="N79" s="128"/>
      <c r="O79" s="127"/>
      <c r="P79" s="128"/>
      <c r="Q79" s="127"/>
      <c r="R79" s="128"/>
      <c r="S79" s="127"/>
      <c r="T79" s="128"/>
      <c r="U79" s="127"/>
      <c r="V79" s="128"/>
      <c r="W79" s="127"/>
      <c r="X79" s="128"/>
      <c r="Y79" s="127"/>
      <c r="Z79" s="128"/>
      <c r="AA79" s="127"/>
      <c r="AB79" s="128"/>
    </row>
    <row r="80" spans="3:28" x14ac:dyDescent="0.25">
      <c r="C80" s="53" t="s">
        <v>973</v>
      </c>
      <c r="D80" s="115"/>
      <c r="E80" s="110"/>
      <c r="F80" s="110"/>
      <c r="G80" s="127"/>
      <c r="H80" s="128"/>
      <c r="I80" s="127"/>
      <c r="J80" s="128"/>
      <c r="K80" s="127">
        <f>COUNTIFS($K$6:$K$60,#N/A,$C$6:$C$60,"Ginkgo")</f>
        <v>0</v>
      </c>
      <c r="L80" s="128">
        <f>COUNTIFS($L$6:$L$60,#N/A,$C$6:$C$60,"Ginkgo")</f>
        <v>0</v>
      </c>
      <c r="M80" s="129">
        <f>COUNTIFS($M$6:$M$60,#N/A,$C$6:$C$60,"Ginkgo")</f>
        <v>0</v>
      </c>
      <c r="N80" s="128">
        <f>COUNTIFS($N$6:$N$60,#N/A,$C$6:$C$60,"Ginkgo")</f>
        <v>0</v>
      </c>
      <c r="O80" s="127">
        <f>COUNTIFS($O$6:$O$60,#N/A,$C$6:$C$60,"Ginkgo")</f>
        <v>0</v>
      </c>
      <c r="P80" s="128">
        <f>COUNTIFS($P$6:$P$60,#N/A,$C$6:$C$60,"Ginkgo")</f>
        <v>0</v>
      </c>
      <c r="Q80" s="127">
        <f>COUNTIFS($Q$6:$Q$60,#N/A,$C$6:$C$60,"Ginkgo")</f>
        <v>0</v>
      </c>
      <c r="R80" s="128">
        <f>COUNTIFS($R$6:$R$60,#N/A,$C$6:$C$60,"Ginkgo")</f>
        <v>0</v>
      </c>
      <c r="S80" s="127">
        <f>COUNTIFS(S6:S60,#N/A,C6:C60,"Ginkgo")</f>
        <v>0</v>
      </c>
      <c r="T80" s="128">
        <f>COUNTIFS(T6:T60,#N/A,C6:C60,"Ginkgo")</f>
        <v>0</v>
      </c>
      <c r="U80" s="127">
        <f>COUNTIFS(U6:U60,#N/A,C6:C60,"Ginkgo")</f>
        <v>0</v>
      </c>
      <c r="V80" s="128">
        <f>COUNTIFS(V6:V60,#N/A,C6:C60,"Ginkgo")</f>
        <v>0</v>
      </c>
      <c r="W80" s="127">
        <f>COUNTIFS(W6:W60,#N/A,C6:C60,"Ginkgo")</f>
        <v>0</v>
      </c>
      <c r="X80" s="128">
        <f>COUNTIFS(X6:X60,#N/A,C6:C60,"Ginkgo")</f>
        <v>0</v>
      </c>
      <c r="Y80" s="127">
        <f>COUNTIFS(Y6:Y60,#N/A,C6:C60,"Ginkgo")</f>
        <v>0</v>
      </c>
      <c r="Z80" s="128">
        <f>COUNTIFS(Z6:Z60,#N/A,C6:C60,"Ginkgo")</f>
        <v>0</v>
      </c>
      <c r="AA80" s="127">
        <f>COUNTIFS(AA6:AA60,#N/A,C6:C60,"Ginkgo")</f>
        <v>0</v>
      </c>
      <c r="AB80" s="128">
        <f>COUNTIFS(AB6:AB60,#N/A,C6:C60,"Ginkgo")</f>
        <v>0</v>
      </c>
    </row>
    <row r="81" spans="3:28" ht="24" customHeight="1" x14ac:dyDescent="0.25">
      <c r="C81" s="55" t="s">
        <v>974</v>
      </c>
      <c r="D81" s="115"/>
      <c r="E81" s="110"/>
      <c r="F81" s="110"/>
      <c r="G81" s="127"/>
      <c r="H81" s="128"/>
      <c r="I81" s="127"/>
      <c r="J81" s="128"/>
      <c r="K81" s="127">
        <f t="shared" ref="K81:R81" si="8">SUM(K74:K77)</f>
        <v>22</v>
      </c>
      <c r="L81" s="128">
        <f t="shared" si="8"/>
        <v>3</v>
      </c>
      <c r="M81" s="129">
        <f t="shared" si="8"/>
        <v>0</v>
      </c>
      <c r="N81" s="128">
        <f t="shared" si="8"/>
        <v>0</v>
      </c>
      <c r="O81" s="127">
        <f t="shared" si="8"/>
        <v>0</v>
      </c>
      <c r="P81" s="128">
        <f t="shared" si="8"/>
        <v>0</v>
      </c>
      <c r="Q81" s="127">
        <f t="shared" si="8"/>
        <v>0</v>
      </c>
      <c r="R81" s="128">
        <f t="shared" si="8"/>
        <v>0</v>
      </c>
      <c r="S81" s="127">
        <f t="shared" ref="S81:AB81" si="9">SUM(S74:S77)</f>
        <v>0</v>
      </c>
      <c r="T81" s="128">
        <f t="shared" si="9"/>
        <v>0</v>
      </c>
      <c r="U81" s="127">
        <f t="shared" si="9"/>
        <v>0</v>
      </c>
      <c r="V81" s="128">
        <f t="shared" si="9"/>
        <v>0</v>
      </c>
      <c r="W81" s="127">
        <f t="shared" si="9"/>
        <v>0</v>
      </c>
      <c r="X81" s="128">
        <f t="shared" si="9"/>
        <v>0</v>
      </c>
      <c r="Y81" s="127">
        <f t="shared" si="9"/>
        <v>0</v>
      </c>
      <c r="Z81" s="128">
        <f t="shared" si="9"/>
        <v>0</v>
      </c>
      <c r="AA81" s="127">
        <f t="shared" si="9"/>
        <v>0</v>
      </c>
      <c r="AB81" s="128">
        <f t="shared" si="9"/>
        <v>0</v>
      </c>
    </row>
    <row r="82" spans="3:28" x14ac:dyDescent="0.25">
      <c r="C82" s="54" t="s">
        <v>975</v>
      </c>
      <c r="D82" s="115"/>
      <c r="E82" s="110"/>
      <c r="F82" s="110"/>
      <c r="G82" s="130"/>
      <c r="H82" s="128"/>
      <c r="I82" s="130"/>
      <c r="J82" s="131"/>
      <c r="K82" s="130">
        <f t="shared" ref="K82:AB82" si="10">SUM(K76:K77)/SUM(K74:K77)</f>
        <v>0.90909090909090906</v>
      </c>
      <c r="L82" s="131">
        <f t="shared" si="10"/>
        <v>1</v>
      </c>
      <c r="M82" s="135" t="e">
        <f t="shared" si="10"/>
        <v>#DIV/0!</v>
      </c>
      <c r="N82" s="131" t="e">
        <f t="shared" si="10"/>
        <v>#DIV/0!</v>
      </c>
      <c r="O82" s="130" t="e">
        <f t="shared" si="10"/>
        <v>#DIV/0!</v>
      </c>
      <c r="P82" s="131" t="e">
        <f t="shared" si="10"/>
        <v>#DIV/0!</v>
      </c>
      <c r="Q82" s="130" t="e">
        <f t="shared" si="10"/>
        <v>#DIV/0!</v>
      </c>
      <c r="R82" s="131" t="e">
        <f t="shared" si="10"/>
        <v>#DIV/0!</v>
      </c>
      <c r="S82" s="130" t="e">
        <f t="shared" si="10"/>
        <v>#DIV/0!</v>
      </c>
      <c r="T82" s="131" t="e">
        <f t="shared" si="10"/>
        <v>#DIV/0!</v>
      </c>
      <c r="U82" s="130" t="e">
        <f t="shared" si="10"/>
        <v>#DIV/0!</v>
      </c>
      <c r="V82" s="131" t="e">
        <f t="shared" si="10"/>
        <v>#DIV/0!</v>
      </c>
      <c r="W82" s="130" t="e">
        <f t="shared" si="10"/>
        <v>#DIV/0!</v>
      </c>
      <c r="X82" s="131" t="e">
        <f t="shared" si="10"/>
        <v>#DIV/0!</v>
      </c>
      <c r="Y82" s="130" t="e">
        <f t="shared" si="10"/>
        <v>#DIV/0!</v>
      </c>
      <c r="Z82" s="131" t="e">
        <f t="shared" si="10"/>
        <v>#DIV/0!</v>
      </c>
      <c r="AA82" s="130" t="e">
        <f t="shared" si="10"/>
        <v>#DIV/0!</v>
      </c>
      <c r="AB82" s="131" t="e">
        <f t="shared" si="10"/>
        <v>#DIV/0!</v>
      </c>
    </row>
    <row r="83" spans="3:28" x14ac:dyDescent="0.25">
      <c r="H83" s="126"/>
      <c r="J83" s="126"/>
    </row>
    <row r="84" spans="3:28" x14ac:dyDescent="0.25">
      <c r="C84" s="52" t="s">
        <v>1208</v>
      </c>
      <c r="D84" s="1" t="s">
        <v>955</v>
      </c>
      <c r="E84" s="1" t="s">
        <v>956</v>
      </c>
      <c r="F84" s="1" t="s">
        <v>956</v>
      </c>
      <c r="G84" s="118" t="s">
        <v>961</v>
      </c>
      <c r="H84" s="118" t="s">
        <v>1278</v>
      </c>
      <c r="I84" s="118" t="s">
        <v>962</v>
      </c>
      <c r="J84" s="118" t="s">
        <v>1279</v>
      </c>
      <c r="K84" s="118" t="s">
        <v>963</v>
      </c>
      <c r="L84" s="118" t="s">
        <v>1280</v>
      </c>
      <c r="M84" s="120" t="s">
        <v>964</v>
      </c>
      <c r="N84" s="120" t="s">
        <v>1281</v>
      </c>
      <c r="O84" s="120" t="s">
        <v>954</v>
      </c>
      <c r="P84" s="120" t="s">
        <v>1282</v>
      </c>
      <c r="Q84" s="120" t="s">
        <v>955</v>
      </c>
      <c r="R84" s="120" t="s">
        <v>1283</v>
      </c>
      <c r="S84" s="120" t="s">
        <v>956</v>
      </c>
      <c r="T84" s="120" t="s">
        <v>1284</v>
      </c>
      <c r="U84" s="120" t="s">
        <v>957</v>
      </c>
      <c r="V84" s="120" t="s">
        <v>1285</v>
      </c>
      <c r="W84" s="120" t="s">
        <v>1286</v>
      </c>
      <c r="X84" s="120" t="s">
        <v>1287</v>
      </c>
      <c r="Y84" s="120" t="s">
        <v>959</v>
      </c>
      <c r="Z84" s="120" t="s">
        <v>1288</v>
      </c>
      <c r="AA84" s="120" t="s">
        <v>1289</v>
      </c>
      <c r="AB84" s="120" t="s">
        <v>1299</v>
      </c>
    </row>
    <row r="85" spans="3:28" x14ac:dyDescent="0.25">
      <c r="C85" s="53" t="s">
        <v>967</v>
      </c>
      <c r="D85" s="113"/>
      <c r="E85" s="114"/>
      <c r="F85" s="114"/>
      <c r="G85" s="132"/>
      <c r="H85" s="133"/>
      <c r="I85" s="132"/>
      <c r="J85" s="133"/>
      <c r="K85" s="132">
        <f>COUNTIFS($K$6:$K$60,1,$C$6:$C$60,"Just Ask")</f>
        <v>0</v>
      </c>
      <c r="L85" s="133">
        <f>COUNTIFS($L$6:$L$60,1,$C$6:$C$60,"Just Ask")</f>
        <v>0</v>
      </c>
      <c r="M85" s="132">
        <f>COUNTIFS($M$6:$M$60,1,$C$6:$C$60,"Just Ask")</f>
        <v>0</v>
      </c>
      <c r="N85" s="133">
        <f>COUNTIFS($N$6:$N$60,1,$C$6:$C$60,"Just Ask")</f>
        <v>0</v>
      </c>
      <c r="O85" s="132">
        <f>COUNTIFS($O$6:$O$60,1,$C$6:$C$60,"Just Ask")</f>
        <v>0</v>
      </c>
      <c r="P85" s="133">
        <f>COUNTIFS($P$6:$P$60,1,$C$6:$C$60,"Just Ask")</f>
        <v>0</v>
      </c>
      <c r="Q85" s="132">
        <f>COUNTIFS($Q$6:$Q$60,1,$C$6:$C$60,"Just Ask")</f>
        <v>0</v>
      </c>
      <c r="R85" s="133">
        <f>COUNTIFS($R$6:$R$60,1,$C$6:$C$60,"Just Ask")</f>
        <v>0</v>
      </c>
      <c r="S85" s="132">
        <f>COUNTIFS(S6:S60,1,C6:C60,"Just Ask")</f>
        <v>1</v>
      </c>
      <c r="T85" s="133">
        <f>COUNTIFS(T6:T60,1,C6:C60,"Just Ask")</f>
        <v>0</v>
      </c>
      <c r="U85" s="132">
        <f>COUNTIFS(U6:U60,1,C6:C60,"Just Ask")</f>
        <v>1</v>
      </c>
      <c r="V85" s="133">
        <f>COUNTIFS(V6:V60,1,C6:C60,"Just Ask")</f>
        <v>0</v>
      </c>
      <c r="W85" s="132">
        <f>COUNTIFS(W6:W60,1,C6:C60,"Just Ask")</f>
        <v>0</v>
      </c>
      <c r="X85" s="133">
        <f>COUNTIFS(X6:X60,1,C6:C60,"Just Ask")</f>
        <v>0</v>
      </c>
      <c r="Y85" s="132">
        <f>COUNTIFS(Y6:Y60,1,C6:C60,"Just Ask")</f>
        <v>0</v>
      </c>
      <c r="Z85" s="133">
        <f>COUNTIFS(Z6:Z60,1,C6:C60,"Just Ask")</f>
        <v>0</v>
      </c>
      <c r="AA85" s="132">
        <f>COUNTIFS(AA6:AA60,1,C6:C60,"Just Ask")</f>
        <v>0</v>
      </c>
      <c r="AB85" s="133">
        <f>COUNTIFS(AB6:AB60,1,C6:C60,"Just Ask")</f>
        <v>0</v>
      </c>
    </row>
    <row r="86" spans="3:28" x14ac:dyDescent="0.25">
      <c r="C86" s="54" t="s">
        <v>968</v>
      </c>
      <c r="D86" s="115"/>
      <c r="E86" s="110"/>
      <c r="F86" s="110"/>
      <c r="G86" s="127"/>
      <c r="H86" s="128"/>
      <c r="I86" s="127"/>
      <c r="J86" s="128"/>
      <c r="K86" s="132">
        <f>COUNTIFS($K$6:$K$60,2,$C$6:$C$60,"Just Ask")</f>
        <v>0</v>
      </c>
      <c r="L86" s="133">
        <f>COUNTIFS($L$6:$L$60,2,$C$6:$C$60,"Just Ask")</f>
        <v>0</v>
      </c>
      <c r="M86" s="132">
        <f>COUNTIFS($M$6:$M$60,2,$C$6:$C$60,"Just Ask")</f>
        <v>1</v>
      </c>
      <c r="N86" s="133">
        <f>COUNTIFS($N$6:$N$60,2,$C$6:$C$60,"Just Ask")</f>
        <v>0</v>
      </c>
      <c r="O86" s="132">
        <f>COUNTIFS($O$6:$O$60,2,$C$6:$C$60,"Just Ask")</f>
        <v>1</v>
      </c>
      <c r="P86" s="133">
        <f>COUNTIFS($P$6:$P$60,2,$C$6:$C$60,"Just Ask")</f>
        <v>0</v>
      </c>
      <c r="Q86" s="132">
        <f>COUNTIFS($Q$6:$Q$60,2,$C$6:$C$60,"Just Ask")</f>
        <v>0</v>
      </c>
      <c r="R86" s="133">
        <f>COUNTIFS($R$6:$R$60,2,$C$6:$C$60,"Just Ask")</f>
        <v>0</v>
      </c>
      <c r="S86" s="132">
        <f>COUNTIFS(S7:S61,2,C7:C61,"Just Ask")</f>
        <v>0</v>
      </c>
      <c r="T86" s="133">
        <f>COUNTIFS(T7:T61,2,C7:C61,"Just Ask")</f>
        <v>0</v>
      </c>
      <c r="U86" s="132">
        <f>COUNTIFS(U7:U61,2,C7:C61,"Just Ask")</f>
        <v>0</v>
      </c>
      <c r="V86" s="133">
        <f>COUNTIFS(V7:V61,2,C7:C61,"Just Ask")</f>
        <v>0</v>
      </c>
      <c r="W86" s="132">
        <f>COUNTIFS(W7:W61,2,C7:C61,"Just Ask")</f>
        <v>0</v>
      </c>
      <c r="X86" s="133">
        <f>COUNTIFS(X7:X61,2,C7:C61,"Just Ask")</f>
        <v>0</v>
      </c>
      <c r="Y86" s="132">
        <f>COUNTIFS(Y7:Y61,2,C7:C61,"Just Ask")</f>
        <v>0</v>
      </c>
      <c r="Z86" s="133">
        <f>COUNTIFS(Z7:Z61,2,C7:C61,"Just Ask")</f>
        <v>0</v>
      </c>
      <c r="AA86" s="132">
        <f>COUNTIFS(AA7:AA61,2,C7:C61,"Just Ask")</f>
        <v>0</v>
      </c>
      <c r="AB86" s="133">
        <f>COUNTIFS(AB7:AB61,2,C7:C61,"Just Ask")</f>
        <v>0</v>
      </c>
    </row>
    <row r="87" spans="3:28" x14ac:dyDescent="0.25">
      <c r="C87" s="54" t="s">
        <v>969</v>
      </c>
      <c r="D87" s="115"/>
      <c r="E87" s="110"/>
      <c r="F87" s="110"/>
      <c r="G87" s="127"/>
      <c r="H87" s="128"/>
      <c r="I87" s="127"/>
      <c r="J87" s="128"/>
      <c r="K87" s="132">
        <f>COUNTIFS($K$6:$K$60,3,$C$6:$C$60,"Just Ask")</f>
        <v>2</v>
      </c>
      <c r="L87" s="133">
        <f>COUNTIFS($L$6:$L$60,3,$C$6:$C$60,"Just Ask")</f>
        <v>0</v>
      </c>
      <c r="M87" s="132">
        <f>COUNTIFS($M$6:$M$60,3,$C$6:$C$60,"Just Ask")</f>
        <v>1</v>
      </c>
      <c r="N87" s="133">
        <f>COUNTIFS($N$6:$N$60,3,$C$6:$C$60,"Just Ask")</f>
        <v>0</v>
      </c>
      <c r="O87" s="132">
        <f>COUNTIFS($O$6:$O$60,3,$C$6:$C$60,"Just Ask")</f>
        <v>1</v>
      </c>
      <c r="P87" s="133">
        <f>COUNTIFS($P$6:$P$60,3,$C$6:$C$60,"Just Ask")</f>
        <v>0</v>
      </c>
      <c r="Q87" s="132">
        <f>COUNTIFS($Q$6:$Q$60,3,$C$6:$C$60,"Just Ask")</f>
        <v>4</v>
      </c>
      <c r="R87" s="133">
        <f>COUNTIFS($R$6:$R$60,3,$C$6:$C$60,"Just Ask")</f>
        <v>0</v>
      </c>
      <c r="S87" s="132">
        <f>COUNTIFS(S8:S62,3,C8:C62,"Just Ask")</f>
        <v>3</v>
      </c>
      <c r="T87" s="133">
        <f>COUNTIFS(T8:T62,3,C8:C62,"Just Ask")</f>
        <v>0</v>
      </c>
      <c r="U87" s="132">
        <f>COUNTIFS(U8:U62,3,C8:C62,"Just Ask")</f>
        <v>2</v>
      </c>
      <c r="V87" s="133">
        <f>COUNTIFS(V8:V62,3,C8:C62,"Just Ask")</f>
        <v>0</v>
      </c>
      <c r="W87" s="132">
        <f>COUNTIFS(W8:W62,3,C8:C62,"Just Ask")</f>
        <v>0</v>
      </c>
      <c r="X87" s="133">
        <f>COUNTIFS(X8:X62,3,C8:C62,"Just Ask")</f>
        <v>0</v>
      </c>
      <c r="Y87" s="132">
        <f>COUNTIFS(Y8:Y62,3,C8:C62,"Just Ask")</f>
        <v>0</v>
      </c>
      <c r="Z87" s="133">
        <f>COUNTIFS(Z8:Z62,3,C8:C62,"Just Ask")</f>
        <v>0</v>
      </c>
      <c r="AA87" s="132">
        <f>COUNTIFS(AA8:AA62,3,C8:C62,"Just Ask")</f>
        <v>0</v>
      </c>
      <c r="AB87" s="133">
        <f>COUNTIFS(AB8:AB62,3,C8:C62,"Just Ask")</f>
        <v>0</v>
      </c>
    </row>
    <row r="88" spans="3:28" x14ac:dyDescent="0.25">
      <c r="C88" s="54" t="s">
        <v>970</v>
      </c>
      <c r="D88" s="115"/>
      <c r="E88" s="110"/>
      <c r="F88" s="110"/>
      <c r="G88" s="127"/>
      <c r="H88" s="128"/>
      <c r="I88" s="127"/>
      <c r="J88" s="128"/>
      <c r="K88" s="132">
        <f>COUNTIFS($K$6:$K$60,4,$C$6:$C$60,"Just Ask")</f>
        <v>0</v>
      </c>
      <c r="L88" s="133">
        <f>COUNTIFS($L$6:$L$60,4,$C$6:$C$60,"Just Ask")</f>
        <v>0</v>
      </c>
      <c r="M88" s="132">
        <f>COUNTIFS($M$6:$M$60,4,$C$6:$C$60,"Just Ask")</f>
        <v>0</v>
      </c>
      <c r="N88" s="133">
        <f>COUNTIFS($N$6:$N$60,4,$C$6:$C$60,"Just Ask")</f>
        <v>0</v>
      </c>
      <c r="O88" s="132">
        <f>COUNTIFS($O$6:$O$60,4,$C$6:$C$60,"Just Ask")</f>
        <v>0</v>
      </c>
      <c r="P88" s="133">
        <f>COUNTIFS($P$6:$P$60,4,$C$6:$C$60,"Just Ask")</f>
        <v>0</v>
      </c>
      <c r="Q88" s="132">
        <f>COUNTIFS($Q$6:$Q$60,4,$C$6:$C$60,"Just Ask")</f>
        <v>0</v>
      </c>
      <c r="R88" s="133">
        <f>COUNTIFS($R$6:$R$60,4,$C$6:$C$60,"Just Ask")</f>
        <v>0</v>
      </c>
      <c r="S88" s="132">
        <f>COUNTIFS(S9:S63,4,C9:C63,"Just Ask")</f>
        <v>0</v>
      </c>
      <c r="T88" s="133">
        <f>COUNTIFS(T9:T63,4,C9:C63,"Just Ask")</f>
        <v>0</v>
      </c>
      <c r="U88" s="132">
        <f>COUNTIFS(U9:U63,4,C9:C63,"Just Ask")</f>
        <v>0</v>
      </c>
      <c r="V88" s="133">
        <f>COUNTIFS(V9:V63,4,C9:C63,"Just Ask")</f>
        <v>0</v>
      </c>
      <c r="W88" s="132">
        <f>COUNTIFS(W9:W63,4,C9:C63,"Just Ask")</f>
        <v>0</v>
      </c>
      <c r="X88" s="133">
        <f>COUNTIFS(X9:X63,4,C9:C63,"Just Ask")</f>
        <v>0</v>
      </c>
      <c r="Y88" s="132">
        <f>COUNTIFS(Y9:Y63,4,C9:C63,"Just Ask")</f>
        <v>0</v>
      </c>
      <c r="Z88" s="133">
        <f>COUNTIFS(Z9:Z63,4,C9:C63,"Just Ask")</f>
        <v>0</v>
      </c>
      <c r="AA88" s="132">
        <f>COUNTIFS(AA9:AA63,4,C9:C63,"Just Ask")</f>
        <v>0</v>
      </c>
      <c r="AB88" s="133">
        <f>COUNTIFS(AB9:AB63,4,C9:C63,"Just Ask")</f>
        <v>0</v>
      </c>
    </row>
    <row r="89" spans="3:28" x14ac:dyDescent="0.25">
      <c r="C89" s="54" t="s">
        <v>971</v>
      </c>
      <c r="D89" s="115"/>
      <c r="E89" s="110"/>
      <c r="F89" s="110"/>
      <c r="G89" s="127">
        <v>5</v>
      </c>
      <c r="H89" s="128">
        <v>5</v>
      </c>
      <c r="I89" s="127">
        <v>5</v>
      </c>
      <c r="J89" s="128">
        <v>5</v>
      </c>
      <c r="K89" s="127">
        <v>5</v>
      </c>
      <c r="L89" s="128">
        <v>5</v>
      </c>
      <c r="M89" s="127">
        <v>5</v>
      </c>
      <c r="N89" s="128">
        <v>5</v>
      </c>
      <c r="O89" s="127">
        <v>5</v>
      </c>
      <c r="P89" s="128">
        <v>5</v>
      </c>
      <c r="Q89" s="127">
        <v>5</v>
      </c>
      <c r="R89" s="128">
        <v>5</v>
      </c>
      <c r="S89" s="127">
        <v>5</v>
      </c>
      <c r="T89" s="128">
        <v>5</v>
      </c>
      <c r="U89" s="127">
        <v>5</v>
      </c>
      <c r="V89" s="128">
        <v>5</v>
      </c>
      <c r="W89" s="127">
        <v>5</v>
      </c>
      <c r="X89" s="128">
        <v>5</v>
      </c>
      <c r="Y89" s="127">
        <v>5</v>
      </c>
      <c r="Z89" s="128">
        <v>5</v>
      </c>
      <c r="AA89" s="127">
        <v>5</v>
      </c>
      <c r="AB89" s="128">
        <v>5</v>
      </c>
    </row>
    <row r="90" spans="3:28" x14ac:dyDescent="0.25">
      <c r="C90" s="53" t="s">
        <v>1276</v>
      </c>
      <c r="D90" s="115"/>
      <c r="E90" s="110"/>
      <c r="F90" s="110"/>
      <c r="G90" s="111"/>
      <c r="H90" s="124"/>
      <c r="I90" s="111"/>
      <c r="J90" s="124"/>
      <c r="K90" s="111"/>
      <c r="L90" s="124"/>
      <c r="M90" s="111"/>
      <c r="N90" s="124"/>
      <c r="O90" s="111"/>
      <c r="P90" s="124"/>
      <c r="Q90" s="111"/>
      <c r="R90" s="124"/>
      <c r="S90" s="111"/>
      <c r="T90" s="124"/>
      <c r="U90" s="111"/>
      <c r="V90" s="124"/>
      <c r="W90" s="111"/>
      <c r="X90" s="124"/>
      <c r="Y90" s="111"/>
      <c r="Z90" s="124"/>
      <c r="AA90" s="111"/>
      <c r="AB90" s="124"/>
    </row>
    <row r="91" spans="3:28" x14ac:dyDescent="0.25">
      <c r="C91" s="53" t="s">
        <v>973</v>
      </c>
      <c r="D91" s="115"/>
      <c r="E91" s="110"/>
      <c r="F91" s="110"/>
      <c r="G91" s="111"/>
      <c r="H91" s="124"/>
      <c r="I91" s="111"/>
      <c r="J91" s="124"/>
      <c r="K91" s="111">
        <f>COUNTIFS($K$6:$K$60,#N/A,$C$6:$C$60,"Just Ask")</f>
        <v>3</v>
      </c>
      <c r="L91" s="124">
        <f>COUNTIFS($L$6:$L$60,#N/A,$C$6:$C$60,"Just Ask")</f>
        <v>0</v>
      </c>
      <c r="M91" s="111">
        <f>COUNTIFS($M$6:$M$60,#N/A,$C$6:$C$60,"Just Ask")</f>
        <v>3</v>
      </c>
      <c r="N91" s="124">
        <f>COUNTIFS($N$6:$N$60,#N/A,$C$6:$C$60,"Just Ask")</f>
        <v>0</v>
      </c>
      <c r="O91" s="111">
        <f>COUNTIFS($O$6:$O$60,#N/A,$C$6:$C$60,"Just Ask")</f>
        <v>3</v>
      </c>
      <c r="P91" s="124">
        <f>COUNTIFS($P$6:$P$60,#N/A,$C$6:$C$60,"Just Ask")</f>
        <v>0</v>
      </c>
      <c r="Q91" s="111">
        <f>COUNTIFS($Q$6:$Q$60,#N/A,$C$6:$C$60,"Just Ask")</f>
        <v>1</v>
      </c>
      <c r="R91" s="124">
        <f>COUNTIFS($R$6:$R$60,#N/A,$C$6:$C$60,"Just Ask")</f>
        <v>0</v>
      </c>
      <c r="S91" s="111">
        <f>COUNTIFS(S6:S60,#N/A,C6:C60,"Just Ask")</f>
        <v>1</v>
      </c>
      <c r="T91" s="124">
        <f>COUNTIFS(T6:T60,#N/A,C6:C60,"Just Ask")</f>
        <v>0</v>
      </c>
      <c r="U91" s="111">
        <f>COUNTIFS(U6:U60,#N/A,C6:C60,"Just Ask")</f>
        <v>2</v>
      </c>
      <c r="V91" s="124">
        <f>COUNTIFS(V6:V60,#N/A,C6:C60,"Just Ask")</f>
        <v>0</v>
      </c>
      <c r="W91" s="111">
        <f>COUNTIFS(W6:W60,#N/A,C6:C60,"Just Ask")</f>
        <v>0</v>
      </c>
      <c r="X91" s="124">
        <f>COUNTIFS(X6:X60,#N/A,C6:C60,"Just Ask")</f>
        <v>0</v>
      </c>
      <c r="Y91" s="111">
        <f>COUNTIFS(Y6:Y60,#N/A,C6:C60,"Just Ask")</f>
        <v>0</v>
      </c>
      <c r="Z91" s="124">
        <f>COUNTIFS(Z6:Z60,#N/A,C6:C60,"Just Ask")</f>
        <v>0</v>
      </c>
      <c r="AA91" s="111">
        <f>COUNTIFS(AA6:AA60,#N/A,C6:C60,"Just Ask")</f>
        <v>0</v>
      </c>
      <c r="AB91" s="124">
        <f>COUNTIFS(AB6:AB60,#N/A,C6:C60,"Just Ask")</f>
        <v>0</v>
      </c>
    </row>
    <row r="92" spans="3:28" ht="26.25" customHeight="1" x14ac:dyDescent="0.25">
      <c r="C92" s="55" t="s">
        <v>974</v>
      </c>
      <c r="D92" s="115"/>
      <c r="E92" s="110"/>
      <c r="F92" s="110"/>
      <c r="G92" s="111"/>
      <c r="H92" s="124"/>
      <c r="I92" s="111"/>
      <c r="J92" s="124"/>
      <c r="K92" s="111">
        <f t="shared" ref="K92:R92" si="11">SUM(K85:K88)</f>
        <v>2</v>
      </c>
      <c r="L92" s="124">
        <f t="shared" si="11"/>
        <v>0</v>
      </c>
      <c r="M92" s="111">
        <f t="shared" si="11"/>
        <v>2</v>
      </c>
      <c r="N92" s="124">
        <f t="shared" si="11"/>
        <v>0</v>
      </c>
      <c r="O92" s="111">
        <f t="shared" si="11"/>
        <v>2</v>
      </c>
      <c r="P92" s="124">
        <f t="shared" si="11"/>
        <v>0</v>
      </c>
      <c r="Q92" s="111">
        <f t="shared" si="11"/>
        <v>4</v>
      </c>
      <c r="R92" s="124">
        <f t="shared" si="11"/>
        <v>0</v>
      </c>
      <c r="S92" s="111">
        <f t="shared" ref="S92:AB92" si="12">SUM(S85:S88)</f>
        <v>4</v>
      </c>
      <c r="T92" s="124">
        <f t="shared" si="12"/>
        <v>0</v>
      </c>
      <c r="U92" s="111">
        <f t="shared" si="12"/>
        <v>3</v>
      </c>
      <c r="V92" s="124">
        <f t="shared" si="12"/>
        <v>0</v>
      </c>
      <c r="W92" s="111">
        <f t="shared" si="12"/>
        <v>0</v>
      </c>
      <c r="X92" s="124">
        <f t="shared" si="12"/>
        <v>0</v>
      </c>
      <c r="Y92" s="111">
        <f t="shared" si="12"/>
        <v>0</v>
      </c>
      <c r="Z92" s="124">
        <f t="shared" si="12"/>
        <v>0</v>
      </c>
      <c r="AA92" s="111">
        <f t="shared" si="12"/>
        <v>0</v>
      </c>
      <c r="AB92" s="124">
        <f t="shared" si="12"/>
        <v>0</v>
      </c>
    </row>
    <row r="93" spans="3:28" x14ac:dyDescent="0.25">
      <c r="C93" s="54" t="s">
        <v>975</v>
      </c>
      <c r="D93" s="115"/>
      <c r="E93" s="110"/>
      <c r="F93" s="110"/>
      <c r="G93" s="112"/>
      <c r="H93" s="124"/>
      <c r="I93" s="112"/>
      <c r="J93" s="125"/>
      <c r="K93" s="112">
        <f t="shared" ref="K93:AB93" si="13">SUM(K87:K88)/SUM(K85:K88)</f>
        <v>1</v>
      </c>
      <c r="L93" s="125" t="e">
        <f t="shared" si="13"/>
        <v>#DIV/0!</v>
      </c>
      <c r="M93" s="112">
        <f t="shared" si="13"/>
        <v>0.5</v>
      </c>
      <c r="N93" s="125" t="e">
        <f t="shared" si="13"/>
        <v>#DIV/0!</v>
      </c>
      <c r="O93" s="112">
        <f t="shared" si="13"/>
        <v>0.5</v>
      </c>
      <c r="P93" s="125" t="e">
        <f t="shared" si="13"/>
        <v>#DIV/0!</v>
      </c>
      <c r="Q93" s="112">
        <f t="shared" si="13"/>
        <v>1</v>
      </c>
      <c r="R93" s="125" t="e">
        <f t="shared" si="13"/>
        <v>#DIV/0!</v>
      </c>
      <c r="S93" s="112">
        <f t="shared" si="13"/>
        <v>0.75</v>
      </c>
      <c r="T93" s="125" t="e">
        <f t="shared" si="13"/>
        <v>#DIV/0!</v>
      </c>
      <c r="U93" s="112">
        <f t="shared" si="13"/>
        <v>0.66666666666666663</v>
      </c>
      <c r="V93" s="125" t="e">
        <f t="shared" si="13"/>
        <v>#DIV/0!</v>
      </c>
      <c r="W93" s="112" t="e">
        <f t="shared" si="13"/>
        <v>#DIV/0!</v>
      </c>
      <c r="X93" s="125" t="e">
        <f t="shared" si="13"/>
        <v>#DIV/0!</v>
      </c>
      <c r="Y93" s="112" t="e">
        <f t="shared" si="13"/>
        <v>#DIV/0!</v>
      </c>
      <c r="Z93" s="125" t="e">
        <f t="shared" si="13"/>
        <v>#DIV/0!</v>
      </c>
      <c r="AA93" s="112" t="e">
        <f t="shared" si="13"/>
        <v>#DIV/0!</v>
      </c>
      <c r="AB93" s="125" t="e">
        <f t="shared" si="13"/>
        <v>#DIV/0!</v>
      </c>
    </row>
  </sheetData>
  <autoFilter ref="A5:AB60" xr:uid="{00000000-0009-0000-0000-00000F000000}"/>
  <mergeCells count="3">
    <mergeCell ref="A3:C3"/>
    <mergeCell ref="A4:C4"/>
    <mergeCell ref="AC4:AC5"/>
  </mergeCells>
  <pageMargins left="0.7" right="0.7" top="0.75" bottom="0.75" header="0.3" footer="0.3"/>
  <pageSetup paperSize="9" scale="42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34"/>
  <sheetViews>
    <sheetView workbookViewId="0">
      <selection activeCell="A5" sqref="A5"/>
    </sheetView>
  </sheetViews>
  <sheetFormatPr defaultRowHeight="15" x14ac:dyDescent="0.25"/>
  <cols>
    <col min="1" max="1" width="24" customWidth="1"/>
    <col min="2" max="2" width="11.85546875" customWidth="1"/>
  </cols>
  <sheetData>
    <row r="1" spans="1:13" x14ac:dyDescent="0.25">
      <c r="A1" s="34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 ht="33" customHeight="1" x14ac:dyDescent="0.25">
      <c r="A2" s="561" t="s">
        <v>1300</v>
      </c>
      <c r="B2" s="561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3" ht="15.75" x14ac:dyDescent="0.25">
      <c r="A3" s="558" t="s">
        <v>1194</v>
      </c>
      <c r="B3" s="558"/>
      <c r="C3" s="537" t="s">
        <v>955</v>
      </c>
      <c r="D3" s="537"/>
      <c r="E3" s="537" t="s">
        <v>956</v>
      </c>
      <c r="F3" s="537"/>
      <c r="G3" s="547" t="s">
        <v>957</v>
      </c>
      <c r="H3" s="560"/>
      <c r="I3" s="547" t="s">
        <v>1286</v>
      </c>
      <c r="J3" s="549"/>
      <c r="K3" s="23"/>
      <c r="L3" s="23"/>
      <c r="M3" s="23"/>
    </row>
    <row r="4" spans="1:13" x14ac:dyDescent="0.25">
      <c r="A4" s="20" t="s">
        <v>46</v>
      </c>
      <c r="B4" s="19" t="s">
        <v>47</v>
      </c>
      <c r="C4" s="56" t="s">
        <v>965</v>
      </c>
      <c r="D4" s="56" t="s">
        <v>966</v>
      </c>
      <c r="E4" s="56" t="s">
        <v>965</v>
      </c>
      <c r="F4" s="56" t="s">
        <v>966</v>
      </c>
      <c r="G4" s="56" t="s">
        <v>965</v>
      </c>
      <c r="H4" s="56" t="s">
        <v>966</v>
      </c>
      <c r="I4" s="56" t="s">
        <v>965</v>
      </c>
      <c r="J4" s="56" t="s">
        <v>966</v>
      </c>
      <c r="K4" s="19" t="s">
        <v>1301</v>
      </c>
      <c r="L4" s="19" t="s">
        <v>1302</v>
      </c>
      <c r="M4" s="19" t="s">
        <v>1303</v>
      </c>
    </row>
    <row r="5" spans="1:13" x14ac:dyDescent="0.25">
      <c r="A5" s="32" t="s">
        <v>178</v>
      </c>
      <c r="B5" s="30" t="s">
        <v>1208</v>
      </c>
      <c r="C5" s="36">
        <v>3</v>
      </c>
      <c r="D5" s="24">
        <v>3</v>
      </c>
      <c r="E5" s="36">
        <v>3</v>
      </c>
      <c r="F5" s="24">
        <v>3</v>
      </c>
      <c r="G5" s="22">
        <v>3</v>
      </c>
      <c r="H5" s="24">
        <v>3</v>
      </c>
      <c r="I5" s="22">
        <v>2</v>
      </c>
      <c r="J5" s="22">
        <v>3</v>
      </c>
      <c r="K5" s="31" t="s">
        <v>1304</v>
      </c>
      <c r="L5" s="38"/>
      <c r="M5" s="24" t="s">
        <v>179</v>
      </c>
    </row>
    <row r="6" spans="1:13" x14ac:dyDescent="0.25">
      <c r="A6" s="32" t="s">
        <v>180</v>
      </c>
      <c r="B6" s="30" t="s">
        <v>1208</v>
      </c>
      <c r="C6" s="36">
        <v>3</v>
      </c>
      <c r="D6" s="24">
        <v>3</v>
      </c>
      <c r="E6" s="36">
        <v>3</v>
      </c>
      <c r="F6" s="24">
        <v>3</v>
      </c>
      <c r="G6" s="22">
        <v>3</v>
      </c>
      <c r="H6" s="24">
        <v>2</v>
      </c>
      <c r="I6" s="22">
        <v>3</v>
      </c>
      <c r="J6" s="22">
        <v>2</v>
      </c>
      <c r="K6" s="31" t="s">
        <v>1304</v>
      </c>
      <c r="L6" s="38"/>
      <c r="M6" s="24" t="s">
        <v>1305</v>
      </c>
    </row>
    <row r="7" spans="1:13" x14ac:dyDescent="0.25">
      <c r="A7" s="32" t="s">
        <v>181</v>
      </c>
      <c r="B7" s="30" t="s">
        <v>1208</v>
      </c>
      <c r="C7" s="36">
        <v>3</v>
      </c>
      <c r="D7" s="24">
        <v>3</v>
      </c>
      <c r="E7" s="36">
        <v>3</v>
      </c>
      <c r="F7" s="24">
        <v>3</v>
      </c>
      <c r="G7" s="22">
        <v>3</v>
      </c>
      <c r="H7" s="24">
        <v>2</v>
      </c>
      <c r="I7" s="22">
        <v>3</v>
      </c>
      <c r="J7" s="22">
        <v>2</v>
      </c>
      <c r="K7" s="31" t="s">
        <v>1304</v>
      </c>
      <c r="L7" s="38"/>
      <c r="M7" s="24" t="s">
        <v>1305</v>
      </c>
    </row>
    <row r="8" spans="1:13" x14ac:dyDescent="0.25">
      <c r="A8" s="32" t="s">
        <v>182</v>
      </c>
      <c r="B8" s="30" t="s">
        <v>1208</v>
      </c>
      <c r="C8" s="36">
        <v>3</v>
      </c>
      <c r="D8" s="24">
        <v>3</v>
      </c>
      <c r="E8" s="36">
        <v>3</v>
      </c>
      <c r="F8" s="24">
        <v>3</v>
      </c>
      <c r="G8" s="22">
        <v>3</v>
      </c>
      <c r="H8" s="24">
        <v>2</v>
      </c>
      <c r="I8" s="22">
        <v>3</v>
      </c>
      <c r="J8" s="22">
        <v>2</v>
      </c>
      <c r="K8" s="31" t="s">
        <v>1304</v>
      </c>
      <c r="L8" s="38"/>
      <c r="M8" s="24" t="s">
        <v>1305</v>
      </c>
    </row>
    <row r="9" spans="1:13" x14ac:dyDescent="0.25">
      <c r="A9" s="32" t="s">
        <v>183</v>
      </c>
      <c r="B9" s="30" t="s">
        <v>1208</v>
      </c>
      <c r="C9" s="36">
        <v>3</v>
      </c>
      <c r="D9" s="24">
        <v>3</v>
      </c>
      <c r="E9" s="36">
        <v>3</v>
      </c>
      <c r="F9" s="24">
        <v>3</v>
      </c>
      <c r="G9" s="22">
        <v>3</v>
      </c>
      <c r="H9" s="24">
        <v>2</v>
      </c>
      <c r="I9" s="22">
        <v>3</v>
      </c>
      <c r="J9" s="22">
        <v>2</v>
      </c>
      <c r="K9" s="31" t="s">
        <v>1304</v>
      </c>
      <c r="L9" s="38"/>
      <c r="M9" s="24" t="s">
        <v>1305</v>
      </c>
    </row>
    <row r="10" spans="1:13" x14ac:dyDescent="0.25">
      <c r="A10" s="32" t="s">
        <v>184</v>
      </c>
      <c r="B10" s="30" t="s">
        <v>1208</v>
      </c>
      <c r="C10" s="36">
        <v>3</v>
      </c>
      <c r="D10" s="24">
        <v>3</v>
      </c>
      <c r="E10" s="36">
        <v>3</v>
      </c>
      <c r="F10" s="24">
        <v>3</v>
      </c>
      <c r="G10" s="22">
        <v>3</v>
      </c>
      <c r="H10" s="24">
        <v>3</v>
      </c>
      <c r="I10" s="22" t="e">
        <v>#N/A</v>
      </c>
      <c r="J10" s="22" t="e">
        <v>#N/A</v>
      </c>
      <c r="K10" s="31" t="s">
        <v>1304</v>
      </c>
      <c r="L10" s="38"/>
      <c r="M10" s="45" t="s">
        <v>1306</v>
      </c>
    </row>
    <row r="11" spans="1:13" x14ac:dyDescent="0.25">
      <c r="A11" s="32" t="s">
        <v>185</v>
      </c>
      <c r="B11" s="30" t="s">
        <v>1208</v>
      </c>
      <c r="C11" s="36">
        <v>3</v>
      </c>
      <c r="D11" s="24">
        <v>3</v>
      </c>
      <c r="E11" s="36">
        <v>3</v>
      </c>
      <c r="F11" s="24">
        <v>3</v>
      </c>
      <c r="G11" s="22">
        <v>3</v>
      </c>
      <c r="H11" s="24">
        <v>3</v>
      </c>
      <c r="I11" s="22">
        <v>3</v>
      </c>
      <c r="J11" s="22">
        <v>3</v>
      </c>
      <c r="K11" s="31" t="s">
        <v>1304</v>
      </c>
      <c r="L11" s="38"/>
      <c r="M11" s="24" t="s">
        <v>179</v>
      </c>
    </row>
    <row r="12" spans="1:13" x14ac:dyDescent="0.25">
      <c r="A12" s="32" t="s">
        <v>186</v>
      </c>
      <c r="B12" s="30" t="s">
        <v>1208</v>
      </c>
      <c r="C12" s="36">
        <v>3</v>
      </c>
      <c r="D12" s="24">
        <v>3</v>
      </c>
      <c r="E12" s="36">
        <v>3</v>
      </c>
      <c r="F12" s="24">
        <v>3</v>
      </c>
      <c r="G12" s="22">
        <v>3</v>
      </c>
      <c r="H12" s="24">
        <v>3</v>
      </c>
      <c r="I12" s="22" t="e">
        <v>#N/A</v>
      </c>
      <c r="J12" s="22" t="e">
        <v>#N/A</v>
      </c>
      <c r="K12" s="31" t="s">
        <v>1304</v>
      </c>
      <c r="L12" s="38"/>
      <c r="M12" s="45" t="s">
        <v>1306</v>
      </c>
    </row>
    <row r="13" spans="1:13" x14ac:dyDescent="0.25">
      <c r="A13" s="32" t="s">
        <v>187</v>
      </c>
      <c r="B13" s="30" t="s">
        <v>1208</v>
      </c>
      <c r="C13" s="36">
        <v>3</v>
      </c>
      <c r="D13" s="24">
        <v>3</v>
      </c>
      <c r="E13" s="36">
        <v>3</v>
      </c>
      <c r="F13" s="24">
        <v>3</v>
      </c>
      <c r="G13" s="22">
        <v>3</v>
      </c>
      <c r="H13" s="24">
        <v>3</v>
      </c>
      <c r="I13" s="22" t="e">
        <v>#N/A</v>
      </c>
      <c r="J13" s="22" t="e">
        <v>#N/A</v>
      </c>
      <c r="K13" s="31" t="s">
        <v>1304</v>
      </c>
      <c r="L13" s="38"/>
      <c r="M13" s="45" t="s">
        <v>1306</v>
      </c>
    </row>
    <row r="14" spans="1:13" x14ac:dyDescent="0.25">
      <c r="A14" s="32" t="s">
        <v>188</v>
      </c>
      <c r="B14" s="30" t="s">
        <v>1208</v>
      </c>
      <c r="C14" s="36">
        <v>4</v>
      </c>
      <c r="D14" s="24">
        <v>4</v>
      </c>
      <c r="E14" s="36">
        <v>3</v>
      </c>
      <c r="F14" s="24">
        <v>3</v>
      </c>
      <c r="G14" s="22">
        <v>3</v>
      </c>
      <c r="H14" s="24">
        <v>3</v>
      </c>
      <c r="I14" s="22">
        <v>3</v>
      </c>
      <c r="J14" s="22">
        <v>3</v>
      </c>
      <c r="K14" s="31" t="s">
        <v>1304</v>
      </c>
      <c r="L14" s="38"/>
      <c r="M14" s="45" t="s">
        <v>1307</v>
      </c>
    </row>
    <row r="15" spans="1:13" x14ac:dyDescent="0.25">
      <c r="A15" s="32" t="s">
        <v>189</v>
      </c>
      <c r="B15" s="30" t="s">
        <v>1208</v>
      </c>
      <c r="C15" s="36">
        <v>3</v>
      </c>
      <c r="D15" s="24">
        <v>3</v>
      </c>
      <c r="E15" s="36">
        <v>3</v>
      </c>
      <c r="F15" s="24">
        <v>3</v>
      </c>
      <c r="G15" s="22">
        <v>3</v>
      </c>
      <c r="H15" s="24">
        <v>3</v>
      </c>
      <c r="I15" s="22">
        <v>3</v>
      </c>
      <c r="J15" s="22">
        <v>3</v>
      </c>
      <c r="K15" s="31" t="s">
        <v>1304</v>
      </c>
      <c r="L15" s="38"/>
      <c r="M15" s="24" t="s">
        <v>179</v>
      </c>
    </row>
    <row r="16" spans="1:13" x14ac:dyDescent="0.25">
      <c r="A16" s="32" t="s">
        <v>190</v>
      </c>
      <c r="B16" s="30" t="s">
        <v>1208</v>
      </c>
      <c r="C16" s="36">
        <v>4</v>
      </c>
      <c r="D16" s="24">
        <v>4</v>
      </c>
      <c r="E16" s="36">
        <v>4</v>
      </c>
      <c r="F16" s="24">
        <v>4</v>
      </c>
      <c r="G16" s="22">
        <v>3</v>
      </c>
      <c r="H16" s="24">
        <v>3</v>
      </c>
      <c r="I16" s="22">
        <v>3</v>
      </c>
      <c r="J16" s="22">
        <v>2</v>
      </c>
      <c r="K16" s="31" t="s">
        <v>1304</v>
      </c>
      <c r="L16" s="38"/>
      <c r="M16" s="45" t="s">
        <v>1307</v>
      </c>
    </row>
    <row r="17" spans="1:13" x14ac:dyDescent="0.25">
      <c r="A17" s="32" t="s">
        <v>191</v>
      </c>
      <c r="B17" s="30" t="s">
        <v>1208</v>
      </c>
      <c r="C17" s="36">
        <v>4</v>
      </c>
      <c r="D17" s="24">
        <v>3</v>
      </c>
      <c r="E17" s="36">
        <v>3</v>
      </c>
      <c r="F17" s="24">
        <v>3</v>
      </c>
      <c r="G17" s="22">
        <v>3</v>
      </c>
      <c r="H17" s="24">
        <v>3</v>
      </c>
      <c r="I17" s="22">
        <v>3</v>
      </c>
      <c r="J17" s="22">
        <v>3</v>
      </c>
      <c r="K17" s="31" t="s">
        <v>1304</v>
      </c>
      <c r="L17" s="38"/>
      <c r="M17" s="45" t="s">
        <v>1307</v>
      </c>
    </row>
    <row r="18" spans="1:13" x14ac:dyDescent="0.25">
      <c r="A18" s="32" t="s">
        <v>192</v>
      </c>
      <c r="B18" s="30" t="s">
        <v>1208</v>
      </c>
      <c r="C18" s="36">
        <v>3</v>
      </c>
      <c r="D18" s="24">
        <v>3</v>
      </c>
      <c r="E18" s="36">
        <v>3</v>
      </c>
      <c r="F18" s="24">
        <v>3</v>
      </c>
      <c r="G18" s="22">
        <v>3</v>
      </c>
      <c r="H18" s="24">
        <v>3</v>
      </c>
      <c r="I18" s="22" t="e">
        <v>#N/A</v>
      </c>
      <c r="J18" s="22" t="e">
        <v>#N/A</v>
      </c>
      <c r="K18" s="31" t="s">
        <v>1304</v>
      </c>
      <c r="L18" s="38"/>
      <c r="M18" s="45" t="s">
        <v>1306</v>
      </c>
    </row>
    <row r="19" spans="1:13" x14ac:dyDescent="0.25">
      <c r="A19" s="32" t="s">
        <v>193</v>
      </c>
      <c r="B19" s="30" t="s">
        <v>1208</v>
      </c>
      <c r="C19" s="36">
        <v>3</v>
      </c>
      <c r="D19" s="24">
        <v>4</v>
      </c>
      <c r="E19" s="36">
        <v>3</v>
      </c>
      <c r="F19" s="24">
        <v>3</v>
      </c>
      <c r="G19" s="22">
        <v>3</v>
      </c>
      <c r="H19" s="24">
        <v>3</v>
      </c>
      <c r="I19" s="22">
        <v>3</v>
      </c>
      <c r="J19" s="22">
        <v>3</v>
      </c>
      <c r="K19" s="31" t="s">
        <v>1304</v>
      </c>
      <c r="L19" s="38"/>
      <c r="M19" s="45" t="s">
        <v>1307</v>
      </c>
    </row>
    <row r="20" spans="1:13" x14ac:dyDescent="0.25">
      <c r="A20" s="32" t="s">
        <v>194</v>
      </c>
      <c r="B20" s="30" t="s">
        <v>1208</v>
      </c>
      <c r="C20" s="36">
        <v>4</v>
      </c>
      <c r="D20" s="24">
        <v>4</v>
      </c>
      <c r="E20" s="36">
        <v>3</v>
      </c>
      <c r="F20" s="24">
        <v>3</v>
      </c>
      <c r="G20" s="22">
        <v>4</v>
      </c>
      <c r="H20" s="24">
        <v>4</v>
      </c>
      <c r="I20" s="22">
        <v>3</v>
      </c>
      <c r="J20" s="22">
        <v>3</v>
      </c>
      <c r="K20" s="31" t="s">
        <v>1304</v>
      </c>
      <c r="L20" s="38"/>
      <c r="M20" s="45" t="s">
        <v>1307</v>
      </c>
    </row>
    <row r="21" spans="1:13" x14ac:dyDescent="0.25">
      <c r="A21" s="32" t="s">
        <v>195</v>
      </c>
      <c r="B21" s="30" t="s">
        <v>1208</v>
      </c>
      <c r="C21" s="36">
        <v>3</v>
      </c>
      <c r="D21" s="24">
        <v>3</v>
      </c>
      <c r="E21" s="36">
        <v>3</v>
      </c>
      <c r="F21" s="24">
        <v>3</v>
      </c>
      <c r="G21" s="22">
        <v>3</v>
      </c>
      <c r="H21" s="24">
        <v>3</v>
      </c>
      <c r="I21" s="22">
        <v>3</v>
      </c>
      <c r="J21" s="22">
        <v>3</v>
      </c>
      <c r="K21" s="31" t="s">
        <v>1304</v>
      </c>
      <c r="L21" s="38"/>
      <c r="M21" s="24" t="s">
        <v>179</v>
      </c>
    </row>
    <row r="23" spans="1:13" x14ac:dyDescent="0.25">
      <c r="A23" s="42"/>
      <c r="B23" s="7" t="s">
        <v>1208</v>
      </c>
      <c r="C23" s="550" t="s">
        <v>955</v>
      </c>
      <c r="D23" s="550"/>
      <c r="E23" s="550" t="s">
        <v>956</v>
      </c>
      <c r="F23" s="550"/>
      <c r="G23" s="550" t="s">
        <v>1195</v>
      </c>
      <c r="H23" s="550"/>
      <c r="I23" s="550" t="s">
        <v>1286</v>
      </c>
      <c r="J23" s="550"/>
    </row>
    <row r="24" spans="1:13" x14ac:dyDescent="0.25">
      <c r="A24" s="42"/>
      <c r="B24" s="25"/>
      <c r="C24" s="56" t="s">
        <v>965</v>
      </c>
      <c r="D24" s="56" t="s">
        <v>966</v>
      </c>
      <c r="E24" s="56" t="s">
        <v>965</v>
      </c>
      <c r="F24" s="56" t="s">
        <v>966</v>
      </c>
      <c r="G24" s="56" t="s">
        <v>965</v>
      </c>
      <c r="H24" s="56" t="s">
        <v>966</v>
      </c>
      <c r="I24" s="56" t="s">
        <v>965</v>
      </c>
      <c r="J24" s="56" t="s">
        <v>966</v>
      </c>
    </row>
    <row r="25" spans="1:13" x14ac:dyDescent="0.25">
      <c r="B25" s="3" t="s">
        <v>967</v>
      </c>
      <c r="C25" s="331">
        <v>0</v>
      </c>
      <c r="D25" s="85">
        <v>0</v>
      </c>
      <c r="E25" s="331">
        <v>0</v>
      </c>
      <c r="F25" s="44">
        <v>0</v>
      </c>
      <c r="G25" s="62">
        <v>0</v>
      </c>
      <c r="H25" s="44">
        <v>0</v>
      </c>
      <c r="I25" s="62"/>
      <c r="J25" s="44"/>
    </row>
    <row r="26" spans="1:13" x14ac:dyDescent="0.25">
      <c r="B26" s="4" t="s">
        <v>968</v>
      </c>
      <c r="C26" s="36">
        <v>0</v>
      </c>
      <c r="D26" s="2">
        <v>0</v>
      </c>
      <c r="E26" s="36">
        <v>0</v>
      </c>
      <c r="F26" s="33">
        <v>0</v>
      </c>
      <c r="G26" s="63">
        <v>0</v>
      </c>
      <c r="H26" s="33">
        <v>4</v>
      </c>
      <c r="I26" s="63">
        <v>1</v>
      </c>
      <c r="J26" s="33">
        <v>5</v>
      </c>
    </row>
    <row r="27" spans="1:13" x14ac:dyDescent="0.25">
      <c r="B27" s="4" t="s">
        <v>969</v>
      </c>
      <c r="C27" s="36">
        <v>13</v>
      </c>
      <c r="D27" s="2">
        <v>13</v>
      </c>
      <c r="E27" s="36">
        <v>16</v>
      </c>
      <c r="F27" s="41">
        <v>16</v>
      </c>
      <c r="G27" s="63">
        <v>16</v>
      </c>
      <c r="H27" s="33">
        <v>12</v>
      </c>
      <c r="I27" s="63">
        <v>12</v>
      </c>
      <c r="J27" s="33">
        <v>8</v>
      </c>
    </row>
    <row r="28" spans="1:13" x14ac:dyDescent="0.25">
      <c r="B28" s="4" t="s">
        <v>970</v>
      </c>
      <c r="C28" s="36">
        <v>4</v>
      </c>
      <c r="D28" s="2">
        <v>4</v>
      </c>
      <c r="E28" s="36">
        <v>1</v>
      </c>
      <c r="F28" s="41">
        <v>1</v>
      </c>
      <c r="G28" s="63">
        <v>1</v>
      </c>
      <c r="H28" s="33">
        <v>1</v>
      </c>
      <c r="I28" s="63"/>
      <c r="J28" s="33"/>
    </row>
    <row r="29" spans="1:13" x14ac:dyDescent="0.25">
      <c r="B29" s="4" t="s">
        <v>971</v>
      </c>
      <c r="C29" s="36">
        <v>17</v>
      </c>
      <c r="D29" s="2">
        <v>17</v>
      </c>
      <c r="E29" s="36">
        <v>17</v>
      </c>
      <c r="F29" s="33">
        <v>17</v>
      </c>
      <c r="G29" s="63">
        <v>17</v>
      </c>
      <c r="H29" s="33">
        <v>17</v>
      </c>
      <c r="I29" s="63"/>
      <c r="J29" s="33"/>
    </row>
    <row r="30" spans="1:13" x14ac:dyDescent="0.25">
      <c r="B30" s="3" t="s">
        <v>972</v>
      </c>
      <c r="C30" s="36"/>
      <c r="D30" s="2"/>
      <c r="E30" s="36"/>
      <c r="F30" s="33"/>
      <c r="G30" s="63"/>
      <c r="H30" s="33"/>
      <c r="I30" s="63"/>
      <c r="J30" s="33"/>
    </row>
    <row r="31" spans="1:13" x14ac:dyDescent="0.25">
      <c r="B31" s="3" t="s">
        <v>973</v>
      </c>
      <c r="C31" s="36"/>
      <c r="D31" s="22"/>
      <c r="E31" s="36"/>
      <c r="F31" s="24"/>
      <c r="G31" s="39"/>
      <c r="H31" s="24"/>
      <c r="I31" s="39"/>
      <c r="J31" s="24"/>
    </row>
    <row r="32" spans="1:13" ht="34.5" x14ac:dyDescent="0.25">
      <c r="B32" s="5" t="s">
        <v>974</v>
      </c>
      <c r="C32" s="36">
        <v>17</v>
      </c>
      <c r="D32" s="2">
        <v>17</v>
      </c>
      <c r="E32" s="36">
        <v>17</v>
      </c>
      <c r="F32" s="33">
        <v>17</v>
      </c>
      <c r="G32" s="63">
        <v>17</v>
      </c>
      <c r="H32" s="33">
        <v>17</v>
      </c>
      <c r="I32" s="39"/>
      <c r="J32" s="24"/>
    </row>
    <row r="33" spans="2:10" x14ac:dyDescent="0.25">
      <c r="B33" s="330" t="s">
        <v>975</v>
      </c>
      <c r="C33" s="37">
        <v>100</v>
      </c>
      <c r="D33" s="26">
        <v>100</v>
      </c>
      <c r="E33" s="26">
        <v>100</v>
      </c>
      <c r="F33" s="26">
        <v>100</v>
      </c>
      <c r="G33" s="26">
        <v>100</v>
      </c>
      <c r="H33" s="57">
        <v>76</v>
      </c>
      <c r="I33" s="58"/>
      <c r="J33" s="57"/>
    </row>
    <row r="34" spans="2:10" x14ac:dyDescent="0.25">
      <c r="B34" s="4" t="s">
        <v>976</v>
      </c>
      <c r="C34" s="36"/>
      <c r="D34" s="2"/>
      <c r="E34" s="36"/>
      <c r="F34" s="24"/>
      <c r="G34" s="39"/>
      <c r="H34" s="24"/>
      <c r="I34" s="39"/>
      <c r="J34" s="24"/>
    </row>
  </sheetData>
  <autoFilter ref="A4:M21" xr:uid="{00000000-0009-0000-0000-000010000000}"/>
  <mergeCells count="10">
    <mergeCell ref="G23:H23"/>
    <mergeCell ref="I23:J23"/>
    <mergeCell ref="G3:H3"/>
    <mergeCell ref="I3:J3"/>
    <mergeCell ref="A2:B2"/>
    <mergeCell ref="A3:B3"/>
    <mergeCell ref="C3:D3"/>
    <mergeCell ref="E3:F3"/>
    <mergeCell ref="C23:D23"/>
    <mergeCell ref="E23:F23"/>
  </mergeCells>
  <phoneticPr fontId="26" type="noConversion"/>
  <pageMargins left="0.7" right="0.7" top="0.75" bottom="0.75" header="0.3" footer="0.3"/>
  <pageSetup paperSize="9" scale="6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AE154"/>
  <sheetViews>
    <sheetView zoomScale="120" zoomScaleNormal="120" workbookViewId="0">
      <pane ySplit="2" topLeftCell="A38" activePane="bottomLeft" state="frozen"/>
      <selection pane="bottomLeft" activeCell="F2" sqref="F2"/>
    </sheetView>
  </sheetViews>
  <sheetFormatPr defaultRowHeight="15" x14ac:dyDescent="0.25"/>
  <cols>
    <col min="1" max="1" width="33" customWidth="1"/>
    <col min="2" max="2" width="7.85546875" customWidth="1"/>
    <col min="3" max="3" width="14.140625" customWidth="1"/>
    <col min="4" max="4" width="4.140625" customWidth="1"/>
    <col min="5" max="5" width="7.85546875" customWidth="1"/>
    <col min="6" max="6" width="6.140625" customWidth="1"/>
    <col min="7" max="7" width="2.140625" customWidth="1"/>
    <col min="8" max="8" width="10.85546875" style="49" customWidth="1"/>
    <col min="9" max="9" width="2.140625" customWidth="1"/>
    <col min="10" max="10" width="11" style="49" customWidth="1"/>
    <col min="11" max="11" width="2.85546875" customWidth="1"/>
    <col min="12" max="12" width="14.5703125" customWidth="1"/>
    <col min="13" max="13" width="2.140625" customWidth="1"/>
    <col min="14" max="14" width="9.140625" customWidth="1"/>
    <col min="15" max="15" width="2.140625" customWidth="1"/>
    <col min="16" max="16" width="13.42578125" style="49" customWidth="1"/>
    <col min="17" max="17" width="5.85546875" customWidth="1"/>
    <col min="18" max="18" width="20.140625" customWidth="1"/>
    <col min="19" max="19" width="1.140625" customWidth="1"/>
    <col min="20" max="21" width="9.85546875" customWidth="1"/>
    <col min="22" max="29" width="9.140625" customWidth="1"/>
  </cols>
  <sheetData>
    <row r="1" spans="1:31" ht="26.25" customHeight="1" x14ac:dyDescent="0.25">
      <c r="A1" s="8"/>
      <c r="B1" s="9" t="s">
        <v>0</v>
      </c>
      <c r="C1" s="187">
        <v>43948</v>
      </c>
      <c r="D1" s="8"/>
      <c r="E1" s="9" t="s">
        <v>1</v>
      </c>
      <c r="F1" s="65">
        <v>1</v>
      </c>
      <c r="G1" s="8"/>
      <c r="H1" s="47"/>
      <c r="I1" s="10"/>
      <c r="J1" s="47"/>
      <c r="K1" s="10"/>
      <c r="L1" s="11"/>
      <c r="M1" s="10"/>
      <c r="N1" s="11"/>
      <c r="O1" s="8"/>
      <c r="P1" s="46" t="s">
        <v>2</v>
      </c>
      <c r="Q1" s="65">
        <v>0.9</v>
      </c>
      <c r="R1" s="12"/>
      <c r="S1" s="12"/>
      <c r="T1" s="8"/>
      <c r="U1" s="8"/>
      <c r="AC1" t="s">
        <v>3</v>
      </c>
    </row>
    <row r="2" spans="1:31" ht="43.5" customHeight="1" x14ac:dyDescent="0.25">
      <c r="A2" s="13"/>
      <c r="B2" s="13"/>
      <c r="C2" s="13"/>
      <c r="D2" s="13"/>
      <c r="E2" s="13"/>
      <c r="F2" s="13"/>
      <c r="G2" s="13"/>
      <c r="H2" s="17" t="s">
        <v>4</v>
      </c>
      <c r="I2" s="13"/>
      <c r="J2" s="17" t="s">
        <v>5</v>
      </c>
      <c r="K2" s="13"/>
      <c r="L2" s="14" t="s">
        <v>6</v>
      </c>
      <c r="M2" s="13"/>
      <c r="N2" s="14" t="s">
        <v>2</v>
      </c>
      <c r="O2" s="13"/>
      <c r="P2" s="17" t="s">
        <v>7</v>
      </c>
      <c r="Q2" s="13"/>
      <c r="R2" s="13" t="s">
        <v>8</v>
      </c>
      <c r="S2" s="13"/>
      <c r="T2" s="13" t="s">
        <v>2</v>
      </c>
      <c r="U2" s="13"/>
    </row>
    <row r="3" spans="1:31" x14ac:dyDescent="0.25">
      <c r="A3" s="13"/>
      <c r="B3" s="13"/>
      <c r="C3" s="13"/>
      <c r="D3" s="13"/>
      <c r="E3" s="13"/>
      <c r="F3" s="13"/>
      <c r="G3" s="13"/>
      <c r="H3" s="17"/>
      <c r="I3" s="13"/>
      <c r="J3" s="17"/>
      <c r="K3" s="13"/>
      <c r="L3" s="14"/>
      <c r="M3" s="13"/>
      <c r="N3" s="14"/>
      <c r="O3" s="13"/>
      <c r="P3" s="17"/>
      <c r="Q3" s="13"/>
      <c r="R3" s="13"/>
      <c r="S3" s="13"/>
      <c r="T3" s="13"/>
      <c r="U3" s="13"/>
    </row>
    <row r="4" spans="1:31" ht="15.75" x14ac:dyDescent="0.25">
      <c r="A4" s="502" t="s">
        <v>9</v>
      </c>
      <c r="B4" s="504" t="s">
        <v>10</v>
      </c>
      <c r="C4" s="504"/>
      <c r="D4" s="504"/>
      <c r="E4" s="504"/>
      <c r="F4" s="504"/>
      <c r="G4" s="15"/>
      <c r="H4" s="46" t="e">
        <f>COUNTIFS(tbl_cleaning[Housing Team],"ATB1",#REF!,"&lt;&gt;NV")</f>
        <v>#REF!</v>
      </c>
      <c r="I4" s="10"/>
      <c r="J4" s="46" t="e">
        <f>SUM(COUNTIFS(tbl_cleaning[Housing Team],"ATB1",#REF!,{"1","2","3","4"}))</f>
        <v>#REF!</v>
      </c>
      <c r="K4" s="10"/>
      <c r="L4" s="16" t="e">
        <f>J4/H4</f>
        <v>#REF!</v>
      </c>
      <c r="M4" s="10"/>
      <c r="N4" s="16">
        <f>$F$1</f>
        <v>1</v>
      </c>
      <c r="O4" s="8"/>
      <c r="P4" s="46" t="e">
        <f>COUNTIFS(tbl_cleaning[Housing Team],"ATB1",#REF!,3)+COUNTIFS(tbl_cleaning[Housing Team],"ATB1",#REF!,4)</f>
        <v>#REF!</v>
      </c>
      <c r="Q4" s="10"/>
      <c r="R4" s="16">
        <f t="shared" ref="R4:R7" si="0">IFERROR(P4/J4,0)</f>
        <v>0</v>
      </c>
      <c r="S4" s="10"/>
      <c r="T4" s="40">
        <f>$Q$1</f>
        <v>0.9</v>
      </c>
      <c r="U4" s="13"/>
    </row>
    <row r="5" spans="1:31" ht="15.75" x14ac:dyDescent="0.25">
      <c r="A5" s="502"/>
      <c r="B5" s="504" t="s">
        <v>11</v>
      </c>
      <c r="C5" s="504"/>
      <c r="D5" s="504"/>
      <c r="E5" s="504"/>
      <c r="F5" s="504"/>
      <c r="G5" s="15"/>
      <c r="H5" s="46" t="e">
        <f>COUNTIFS(tbl_cleaning[Housing Team],"ATB1",#REF!,"&lt;&gt;NV")</f>
        <v>#REF!</v>
      </c>
      <c r="I5" s="10"/>
      <c r="J5" s="46" t="e">
        <f>SUM(COUNTIFS(tbl_cleaning[Housing Team],"ATB1",#REF!,{"1","2","3","4"}))</f>
        <v>#REF!</v>
      </c>
      <c r="K5" s="10"/>
      <c r="L5" s="16" t="e">
        <f>J5/H5</f>
        <v>#REF!</v>
      </c>
      <c r="M5" s="10"/>
      <c r="N5" s="16">
        <f>$F$1</f>
        <v>1</v>
      </c>
      <c r="O5" s="8"/>
      <c r="P5" s="46" t="e">
        <f>COUNTIFS(tbl_cleaning[Housing Team],"ATB1",#REF!,3)+COUNTIFS(tbl_cleaning[Housing Team],"ATB1",#REF!,4)</f>
        <v>#REF!</v>
      </c>
      <c r="Q5" s="10"/>
      <c r="R5" s="16">
        <f t="shared" si="0"/>
        <v>0</v>
      </c>
      <c r="S5" s="10"/>
      <c r="T5" s="40">
        <f t="shared" ref="T5:T7" si="1">$Q$1</f>
        <v>0.9</v>
      </c>
      <c r="U5" s="13"/>
    </row>
    <row r="6" spans="1:31" ht="15.75" x14ac:dyDescent="0.25">
      <c r="A6" s="502"/>
      <c r="B6" s="504" t="s">
        <v>12</v>
      </c>
      <c r="C6" s="504"/>
      <c r="D6" s="504"/>
      <c r="E6" s="504"/>
      <c r="F6" s="504"/>
      <c r="G6" s="15"/>
      <c r="H6" s="46" t="e">
        <f>COUNTIFS(#REF!,"ATB1",#REF!,"&lt;&gt;NV")</f>
        <v>#REF!</v>
      </c>
      <c r="I6" s="10"/>
      <c r="J6" s="46" t="e">
        <f t="array" ref="J6">SUM(COUNTIFS(#REF!,"ATB1",#REF!,{"1","2","3","4"}))</f>
        <v>#REF!</v>
      </c>
      <c r="K6" s="10"/>
      <c r="L6" s="16" t="e">
        <f>J6/H6</f>
        <v>#REF!</v>
      </c>
      <c r="M6" s="10"/>
      <c r="N6" s="16">
        <f>$F$1</f>
        <v>1</v>
      </c>
      <c r="O6" s="8"/>
      <c r="P6" s="46" t="e">
        <f>COUNTIFS(#REF!,"ATB1",#REF!,3)+COUNTIFS(#REF!,"ATB1",#REF!,4)</f>
        <v>#REF!</v>
      </c>
      <c r="Q6" s="10"/>
      <c r="R6" s="16">
        <f t="shared" si="0"/>
        <v>0</v>
      </c>
      <c r="S6" s="10"/>
      <c r="T6" s="40">
        <f t="shared" si="1"/>
        <v>0.9</v>
      </c>
      <c r="U6" s="13"/>
    </row>
    <row r="7" spans="1:31" x14ac:dyDescent="0.25">
      <c r="A7" s="503"/>
      <c r="B7" s="504" t="s">
        <v>13</v>
      </c>
      <c r="C7" s="504"/>
      <c r="D7" s="504"/>
      <c r="E7" s="504"/>
      <c r="F7" s="504"/>
      <c r="G7" s="8"/>
      <c r="H7" s="46" t="e">
        <f>H4+H5+H6</f>
        <v>#REF!</v>
      </c>
      <c r="I7" s="10"/>
      <c r="J7" s="46" t="e">
        <f>SUM(J4:J6)</f>
        <v>#REF!</v>
      </c>
      <c r="K7" s="10"/>
      <c r="L7" s="16" t="e">
        <f>J7/H7</f>
        <v>#REF!</v>
      </c>
      <c r="M7" s="10"/>
      <c r="N7" s="16">
        <f>$F$1</f>
        <v>1</v>
      </c>
      <c r="O7" s="8"/>
      <c r="P7" s="46" t="e">
        <f>SUM(P4:P6)</f>
        <v>#REF!</v>
      </c>
      <c r="Q7" s="10"/>
      <c r="R7" s="16">
        <f t="shared" si="0"/>
        <v>0</v>
      </c>
      <c r="S7" s="10"/>
      <c r="T7" s="40">
        <f t="shared" si="1"/>
        <v>0.9</v>
      </c>
      <c r="U7" s="13"/>
    </row>
    <row r="8" spans="1:31" x14ac:dyDescent="0.25">
      <c r="H8"/>
      <c r="J8"/>
      <c r="P8"/>
    </row>
    <row r="9" spans="1:31" ht="15.75" x14ac:dyDescent="0.25">
      <c r="A9" s="502" t="s">
        <v>1355</v>
      </c>
      <c r="B9" s="504" t="s">
        <v>10</v>
      </c>
      <c r="C9" s="504"/>
      <c r="D9" s="504"/>
      <c r="E9" s="504"/>
      <c r="F9" s="504"/>
      <c r="G9" s="15"/>
      <c r="H9" s="46" t="e">
        <f>COUNTIFS(tbl_cleaning[Housing Team],"ATB2",#REF!,"&lt;&gt;NV")</f>
        <v>#REF!</v>
      </c>
      <c r="I9" s="10"/>
      <c r="J9" s="46" t="e">
        <f>SUM(COUNTIFS(tbl_cleaning[Housing Team],"ATB2",#REF!,{"1","2","3","4"}))</f>
        <v>#REF!</v>
      </c>
      <c r="K9" s="10"/>
      <c r="L9" s="16" t="e">
        <f>J9/H9</f>
        <v>#REF!</v>
      </c>
      <c r="M9" s="10"/>
      <c r="N9" s="16">
        <f>$F$1</f>
        <v>1</v>
      </c>
      <c r="O9" s="8"/>
      <c r="P9" s="46" t="e">
        <f>COUNTIFS(tbl_cleaning[Housing Team],"ATB2",#REF!,3)+COUNTIFS(tbl_cleaning[Housing Team],"ATB2",#REF!,4)</f>
        <v>#REF!</v>
      </c>
      <c r="Q9" s="10"/>
      <c r="R9" s="16">
        <f t="shared" ref="R9:R12" si="2">IFERROR(P9/J9,0)</f>
        <v>0</v>
      </c>
      <c r="S9" s="10"/>
      <c r="T9" s="40">
        <f t="shared" ref="T9:T12" si="3">$Q$1</f>
        <v>0.9</v>
      </c>
      <c r="U9" s="8"/>
    </row>
    <row r="10" spans="1:31" ht="15.75" x14ac:dyDescent="0.25">
      <c r="A10" s="502"/>
      <c r="B10" s="504" t="s">
        <v>11</v>
      </c>
      <c r="C10" s="504"/>
      <c r="D10" s="504"/>
      <c r="E10" s="504"/>
      <c r="F10" s="504"/>
      <c r="G10" s="15"/>
      <c r="H10" s="46" t="e">
        <f>COUNTIFS(tbl_cleaning[Housing Team],"ATB2",#REF!,"&lt;&gt;NV")</f>
        <v>#REF!</v>
      </c>
      <c r="I10" s="10"/>
      <c r="J10" s="46" t="e">
        <f>SUM(COUNTIFS(tbl_cleaning[Housing Team],"ATB2",#REF!,{"1","2","3","4"}))</f>
        <v>#REF!</v>
      </c>
      <c r="K10" s="10"/>
      <c r="L10" s="16" t="e">
        <f>J10/H10</f>
        <v>#REF!</v>
      </c>
      <c r="M10" s="10"/>
      <c r="N10" s="16">
        <f>$F$1</f>
        <v>1</v>
      </c>
      <c r="O10" s="8"/>
      <c r="P10" s="46" t="e">
        <f>COUNTIFS(tbl_cleaning[Housing Team],"ATB2",#REF!,3)+COUNTIFS(tbl_cleaning[Housing Team],"ATB2",#REF!,4)</f>
        <v>#REF!</v>
      </c>
      <c r="Q10" s="10"/>
      <c r="R10" s="16">
        <f t="shared" si="2"/>
        <v>0</v>
      </c>
      <c r="S10" s="10"/>
      <c r="T10" s="40">
        <f t="shared" si="3"/>
        <v>0.9</v>
      </c>
      <c r="U10" s="8"/>
      <c r="AE10" t="s">
        <v>3</v>
      </c>
    </row>
    <row r="11" spans="1:31" ht="15.75" x14ac:dyDescent="0.25">
      <c r="A11" s="502"/>
      <c r="B11" s="504" t="s">
        <v>12</v>
      </c>
      <c r="C11" s="504"/>
      <c r="D11" s="504"/>
      <c r="E11" s="504"/>
      <c r="F11" s="504"/>
      <c r="G11" s="15"/>
      <c r="H11" s="46" t="e">
        <f>COUNTIFS(#REF!,"ATB2",#REF!,"&lt;&gt;NV")</f>
        <v>#REF!</v>
      </c>
      <c r="I11" s="10"/>
      <c r="J11" s="46" t="e">
        <f t="array" ref="J11">SUM(COUNTIFS(#REF!,"ATB2",#REF!,{"1","2","3","4"}))</f>
        <v>#REF!</v>
      </c>
      <c r="K11" s="10"/>
      <c r="L11" s="16" t="e">
        <f>J11/H11</f>
        <v>#REF!</v>
      </c>
      <c r="M11" s="10"/>
      <c r="N11" s="16">
        <f>$F$1</f>
        <v>1</v>
      </c>
      <c r="O11" s="8"/>
      <c r="P11" s="46" t="e">
        <f>COUNTIFS(#REF!,"ATB2",#REF!,3)+COUNTIFS(#REF!,"ATB2",#REF!,4)</f>
        <v>#REF!</v>
      </c>
      <c r="Q11" s="10"/>
      <c r="R11" s="16">
        <f t="shared" si="2"/>
        <v>0</v>
      </c>
      <c r="S11" s="10"/>
      <c r="T11" s="40">
        <f t="shared" si="3"/>
        <v>0.9</v>
      </c>
      <c r="U11" s="8"/>
    </row>
    <row r="12" spans="1:31" x14ac:dyDescent="0.25">
      <c r="A12" s="503"/>
      <c r="B12" s="504" t="s">
        <v>13</v>
      </c>
      <c r="C12" s="504"/>
      <c r="D12" s="504"/>
      <c r="E12" s="504"/>
      <c r="F12" s="504"/>
      <c r="G12" s="8"/>
      <c r="H12" s="46" t="e">
        <f>H9+H10+H11</f>
        <v>#REF!</v>
      </c>
      <c r="I12" s="10"/>
      <c r="J12" s="46" t="e">
        <f>SUM(J9:J11)</f>
        <v>#REF!</v>
      </c>
      <c r="K12" s="10"/>
      <c r="L12" s="16" t="e">
        <f>J12/H12</f>
        <v>#REF!</v>
      </c>
      <c r="M12" s="10"/>
      <c r="N12" s="16">
        <f>$F$1</f>
        <v>1</v>
      </c>
      <c r="O12" s="8"/>
      <c r="P12" s="46" t="e">
        <f>SUM(P9:P11)</f>
        <v>#REF!</v>
      </c>
      <c r="Q12" s="10"/>
      <c r="R12" s="16">
        <f t="shared" si="2"/>
        <v>0</v>
      </c>
      <c r="S12" s="10"/>
      <c r="T12" s="40">
        <f t="shared" si="3"/>
        <v>0.9</v>
      </c>
      <c r="U12" s="8"/>
    </row>
    <row r="13" spans="1:31" x14ac:dyDescent="0.25">
      <c r="H13"/>
      <c r="J13"/>
      <c r="P13"/>
    </row>
    <row r="14" spans="1:31" ht="15.75" x14ac:dyDescent="0.25">
      <c r="A14" s="505" t="s">
        <v>15</v>
      </c>
      <c r="B14" s="504" t="s">
        <v>10</v>
      </c>
      <c r="C14" s="504"/>
      <c r="D14" s="504"/>
      <c r="E14" s="504"/>
      <c r="F14" s="504"/>
      <c r="G14" s="15"/>
      <c r="H14" s="46" t="e">
        <f>COUNTIFS(tbl_cleaning[Housing Team],"ATB3",#REF!,"&lt;&gt;NV")</f>
        <v>#REF!</v>
      </c>
      <c r="I14" s="10"/>
      <c r="J14" s="46" t="e">
        <f>SUM(COUNTIFS(tbl_cleaning[Housing Team],"ATB3",#REF!,{"1","2","3","4"}))</f>
        <v>#REF!</v>
      </c>
      <c r="K14" s="10"/>
      <c r="L14" s="16" t="e">
        <f>J14/H14</f>
        <v>#REF!</v>
      </c>
      <c r="M14" s="10"/>
      <c r="N14" s="16">
        <f>$F$1</f>
        <v>1</v>
      </c>
      <c r="O14" s="8"/>
      <c r="P14" s="46" t="e">
        <f>COUNTIFS(tbl_cleaning[Housing Team],"ATB3",#REF!,3)+COUNTIFS(tbl_cleaning[Housing Team],"ATB3",#REF!,4)</f>
        <v>#REF!</v>
      </c>
      <c r="Q14" s="10"/>
      <c r="R14" s="16">
        <f t="shared" ref="R14:R17" si="4">IFERROR(P14/J14,0)</f>
        <v>0</v>
      </c>
      <c r="S14" s="10"/>
      <c r="T14" s="40">
        <f t="shared" ref="T14:T17" si="5">$Q$1</f>
        <v>0.9</v>
      </c>
      <c r="U14" s="8"/>
    </row>
    <row r="15" spans="1:31" ht="15.75" x14ac:dyDescent="0.25">
      <c r="A15" s="505"/>
      <c r="B15" s="504" t="s">
        <v>11</v>
      </c>
      <c r="C15" s="504"/>
      <c r="D15" s="504"/>
      <c r="E15" s="504"/>
      <c r="F15" s="504"/>
      <c r="G15" s="15"/>
      <c r="H15" s="46" t="e">
        <f>COUNTIFS(tbl_cleaning[Housing Team],"ATB3",#REF!,"&lt;&gt;NV")</f>
        <v>#REF!</v>
      </c>
      <c r="I15" s="10"/>
      <c r="J15" s="46" t="e">
        <f>SUM(COUNTIFS(tbl_cleaning[Housing Team],"ATB3",#REF!,{"1","2","3","4"}))</f>
        <v>#REF!</v>
      </c>
      <c r="K15" s="10"/>
      <c r="L15" s="16" t="e">
        <f>J15/H15</f>
        <v>#REF!</v>
      </c>
      <c r="M15" s="10"/>
      <c r="N15" s="16">
        <f>$F$1</f>
        <v>1</v>
      </c>
      <c r="O15" s="8"/>
      <c r="P15" s="46" t="e">
        <f>COUNTIFS(tbl_cleaning[Housing Team],"ATB3",#REF!,3)+COUNTIFS(tbl_cleaning[Housing Team],"ATB3",#REF!,4)</f>
        <v>#REF!</v>
      </c>
      <c r="Q15" s="10"/>
      <c r="R15" s="16">
        <f t="shared" si="4"/>
        <v>0</v>
      </c>
      <c r="S15" s="10"/>
      <c r="T15" s="40">
        <f t="shared" si="5"/>
        <v>0.9</v>
      </c>
      <c r="U15" s="8"/>
    </row>
    <row r="16" spans="1:31" ht="15.75" x14ac:dyDescent="0.25">
      <c r="A16" s="505"/>
      <c r="B16" s="504" t="s">
        <v>12</v>
      </c>
      <c r="C16" s="504"/>
      <c r="D16" s="504"/>
      <c r="E16" s="504"/>
      <c r="F16" s="504"/>
      <c r="G16" s="15"/>
      <c r="H16" s="46" t="e">
        <f>COUNTIFS(#REF!,"ATB3",#REF!,"&lt;&gt;NV")</f>
        <v>#REF!</v>
      </c>
      <c r="I16" s="10"/>
      <c r="J16" s="46" t="e">
        <f t="array" ref="J16">SUM(COUNTIFS(#REF!,"ATB3",#REF!,{"1","2","3","4"}))</f>
        <v>#REF!</v>
      </c>
      <c r="K16" s="10"/>
      <c r="L16" s="16" t="e">
        <f>J16/H16</f>
        <v>#REF!</v>
      </c>
      <c r="M16" s="10"/>
      <c r="N16" s="16">
        <f>$F$1</f>
        <v>1</v>
      </c>
      <c r="O16" s="8"/>
      <c r="P16" s="46" t="e">
        <f>COUNTIFS(#REF!,"ATB3",#REF!,3)+COUNTIFS(#REF!,"ATB3",#REF!,4)</f>
        <v>#REF!</v>
      </c>
      <c r="Q16" s="10"/>
      <c r="R16" s="16">
        <f t="shared" si="4"/>
        <v>0</v>
      </c>
      <c r="S16" s="10"/>
      <c r="T16" s="40">
        <f t="shared" si="5"/>
        <v>0.9</v>
      </c>
      <c r="U16" s="8"/>
    </row>
    <row r="17" spans="1:21" x14ac:dyDescent="0.25">
      <c r="A17" s="506"/>
      <c r="B17" s="504" t="s">
        <v>13</v>
      </c>
      <c r="C17" s="504"/>
      <c r="D17" s="504"/>
      <c r="E17" s="504"/>
      <c r="F17" s="504"/>
      <c r="G17" s="8"/>
      <c r="H17" s="46" t="e">
        <f>H14+H15+H16</f>
        <v>#REF!</v>
      </c>
      <c r="I17" s="10"/>
      <c r="J17" s="46" t="e">
        <f>SUM(J14:J16)</f>
        <v>#REF!</v>
      </c>
      <c r="K17" s="10"/>
      <c r="L17" s="16" t="e">
        <f>J17/H17</f>
        <v>#REF!</v>
      </c>
      <c r="M17" s="10"/>
      <c r="N17" s="16">
        <f>$F$1</f>
        <v>1</v>
      </c>
      <c r="O17" s="8"/>
      <c r="P17" s="46" t="e">
        <f>SUM(P14:P16)</f>
        <v>#REF!</v>
      </c>
      <c r="Q17" s="10"/>
      <c r="R17" s="16">
        <f t="shared" si="4"/>
        <v>0</v>
      </c>
      <c r="S17" s="10"/>
      <c r="T17" s="40">
        <f t="shared" si="5"/>
        <v>0.9</v>
      </c>
      <c r="U17" s="8"/>
    </row>
    <row r="18" spans="1:21" x14ac:dyDescent="0.25">
      <c r="H18"/>
      <c r="J18"/>
      <c r="P18"/>
    </row>
    <row r="19" spans="1:21" ht="15.75" x14ac:dyDescent="0.25">
      <c r="A19" s="502" t="s">
        <v>16</v>
      </c>
      <c r="B19" s="504" t="s">
        <v>10</v>
      </c>
      <c r="C19" s="504"/>
      <c r="D19" s="504"/>
      <c r="E19" s="504"/>
      <c r="F19" s="504"/>
      <c r="G19" s="15"/>
      <c r="H19" s="46" t="e">
        <f>COUNTIFS(tbl_cleaning[Housing Team],"ATB4",#REF!,"&lt;&gt;NV")</f>
        <v>#REF!</v>
      </c>
      <c r="I19" s="10"/>
      <c r="J19" s="46" t="e">
        <f>SUM(COUNTIFS(tbl_cleaning[Housing Team],"ATB4",#REF!,{"1","2","3","4"}))</f>
        <v>#REF!</v>
      </c>
      <c r="K19" s="10"/>
      <c r="L19" s="16" t="e">
        <f>J19/H19</f>
        <v>#REF!</v>
      </c>
      <c r="M19" s="10"/>
      <c r="N19" s="16">
        <f>$F$1</f>
        <v>1</v>
      </c>
      <c r="O19" s="8"/>
      <c r="P19" s="46" t="e">
        <f>COUNTIFS(tbl_cleaning[Housing Team],"ATB4",#REF!,3)+COUNTIFS(tbl_cleaning[Housing Team],"ATB4",#REF!,4)</f>
        <v>#REF!</v>
      </c>
      <c r="Q19" s="10"/>
      <c r="R19" s="16">
        <f t="shared" ref="R19:R22" si="6">IFERROR(P19/J19,0)</f>
        <v>0</v>
      </c>
      <c r="S19" s="10"/>
      <c r="T19" s="40">
        <f t="shared" ref="T19:T22" si="7">$Q$1</f>
        <v>0.9</v>
      </c>
      <c r="U19" s="8"/>
    </row>
    <row r="20" spans="1:21" ht="15.75" x14ac:dyDescent="0.25">
      <c r="A20" s="502"/>
      <c r="B20" s="504" t="s">
        <v>11</v>
      </c>
      <c r="C20" s="504"/>
      <c r="D20" s="504"/>
      <c r="E20" s="504"/>
      <c r="F20" s="504"/>
      <c r="G20" s="15"/>
      <c r="H20" s="46" t="e">
        <f>COUNTIFS(tbl_cleaning[Housing Team],"ATB4",#REF!,"&lt;&gt;NV")</f>
        <v>#REF!</v>
      </c>
      <c r="I20" s="10"/>
      <c r="J20" s="46" t="e">
        <f>SUM(COUNTIFS(tbl_cleaning[Housing Team],"ATB4",#REF!,{"1","2","3","4"}))</f>
        <v>#REF!</v>
      </c>
      <c r="K20" s="10"/>
      <c r="L20" s="16" t="e">
        <f>J20/H20</f>
        <v>#REF!</v>
      </c>
      <c r="M20" s="10"/>
      <c r="N20" s="16">
        <f>$F$1</f>
        <v>1</v>
      </c>
      <c r="O20" s="8"/>
      <c r="P20" s="46" t="e">
        <f>COUNTIFS(tbl_cleaning[Housing Team],"ATB4",#REF!,3)+COUNTIFS(tbl_cleaning[Housing Team],"ATB4",#REF!,4)</f>
        <v>#REF!</v>
      </c>
      <c r="Q20" s="10"/>
      <c r="R20" s="16">
        <f t="shared" si="6"/>
        <v>0</v>
      </c>
      <c r="S20" s="10"/>
      <c r="T20" s="40">
        <f t="shared" si="7"/>
        <v>0.9</v>
      </c>
      <c r="U20" s="8"/>
    </row>
    <row r="21" spans="1:21" ht="15.75" x14ac:dyDescent="0.25">
      <c r="A21" s="502"/>
      <c r="B21" s="504" t="s">
        <v>12</v>
      </c>
      <c r="C21" s="504"/>
      <c r="D21" s="504"/>
      <c r="E21" s="504"/>
      <c r="F21" s="504"/>
      <c r="G21" s="15"/>
      <c r="H21" s="46" t="e">
        <f>COUNTIFS(#REF!,"ATB4",#REF!,"&lt;&gt;NV")</f>
        <v>#REF!</v>
      </c>
      <c r="I21" s="10"/>
      <c r="J21" s="46" t="e">
        <f t="array" ref="J21">SUM(COUNTIFS(#REF!,"ATB4",#REF!,{"1","2","3","4"}))</f>
        <v>#REF!</v>
      </c>
      <c r="K21" s="10"/>
      <c r="L21" s="16" t="e">
        <f>J21/H21</f>
        <v>#REF!</v>
      </c>
      <c r="M21" s="10"/>
      <c r="N21" s="16">
        <f>$F$1</f>
        <v>1</v>
      </c>
      <c r="O21" s="8"/>
      <c r="P21" s="46" t="e">
        <f>COUNTIFS(#REF!,"ATB4",#REF!,3)+COUNTIFS(#REF!,"ATB4",#REF!,4)</f>
        <v>#REF!</v>
      </c>
      <c r="Q21" s="10"/>
      <c r="R21" s="16">
        <f t="shared" si="6"/>
        <v>0</v>
      </c>
      <c r="S21" s="10"/>
      <c r="T21" s="40">
        <f t="shared" si="7"/>
        <v>0.9</v>
      </c>
      <c r="U21" s="8"/>
    </row>
    <row r="22" spans="1:21" x14ac:dyDescent="0.25">
      <c r="A22" s="503"/>
      <c r="B22" s="504" t="s">
        <v>13</v>
      </c>
      <c r="C22" s="504"/>
      <c r="D22" s="504"/>
      <c r="E22" s="504"/>
      <c r="F22" s="504"/>
      <c r="G22" s="8"/>
      <c r="H22" s="46" t="e">
        <f>H19+H20+H21</f>
        <v>#REF!</v>
      </c>
      <c r="I22" s="10"/>
      <c r="J22" s="46" t="e">
        <f>SUM(J19:J21)</f>
        <v>#REF!</v>
      </c>
      <c r="K22" s="10"/>
      <c r="L22" s="16" t="e">
        <f>J22/H22</f>
        <v>#REF!</v>
      </c>
      <c r="M22" s="10"/>
      <c r="N22" s="16">
        <f>$F$1</f>
        <v>1</v>
      </c>
      <c r="O22" s="8"/>
      <c r="P22" s="46" t="e">
        <f>SUM(P19:P21)</f>
        <v>#REF!</v>
      </c>
      <c r="Q22" s="10"/>
      <c r="R22" s="16">
        <f t="shared" si="6"/>
        <v>0</v>
      </c>
      <c r="S22" s="10"/>
      <c r="T22" s="40">
        <f t="shared" si="7"/>
        <v>0.9</v>
      </c>
      <c r="U22" s="8"/>
    </row>
    <row r="23" spans="1:21" x14ac:dyDescent="0.25">
      <c r="H23"/>
      <c r="J23"/>
      <c r="P23"/>
    </row>
    <row r="24" spans="1:21" ht="15.75" x14ac:dyDescent="0.25">
      <c r="A24" s="502" t="s">
        <v>17</v>
      </c>
      <c r="B24" s="504" t="s">
        <v>10</v>
      </c>
      <c r="C24" s="504"/>
      <c r="D24" s="504"/>
      <c r="E24" s="504"/>
      <c r="F24" s="504"/>
      <c r="G24" s="15"/>
      <c r="H24" s="46" t="e">
        <f>COUNTIFS(tbl_cleaning[Housing Team],"ATB5",#REF!,"&lt;&gt;NV")</f>
        <v>#REF!</v>
      </c>
      <c r="I24" s="10"/>
      <c r="J24" s="46" t="e">
        <f>SUM(COUNTIFS(tbl_cleaning[Housing Team],"ATB5",#REF!,{"1","2","3","4"}))</f>
        <v>#REF!</v>
      </c>
      <c r="K24" s="10"/>
      <c r="L24" s="16" t="e">
        <f>J24/H24</f>
        <v>#REF!</v>
      </c>
      <c r="M24" s="10"/>
      <c r="N24" s="16">
        <f>$F$1</f>
        <v>1</v>
      </c>
      <c r="O24" s="8"/>
      <c r="P24" s="46" t="e">
        <f>COUNTIFS(tbl_cleaning[Housing Team],"ATB5",#REF!,3)+COUNTIFS(tbl_cleaning[Housing Team],"ATB5",#REF!,4)</f>
        <v>#REF!</v>
      </c>
      <c r="Q24" s="10"/>
      <c r="R24" s="16">
        <f t="shared" ref="R24:R27" si="8">IFERROR(P24/J24,0)</f>
        <v>0</v>
      </c>
      <c r="S24" s="10"/>
      <c r="T24" s="40">
        <f t="shared" ref="T24:T27" si="9">$Q$1</f>
        <v>0.9</v>
      </c>
      <c r="U24" s="8"/>
    </row>
    <row r="25" spans="1:21" ht="15.75" x14ac:dyDescent="0.25">
      <c r="A25" s="502"/>
      <c r="B25" s="504" t="s">
        <v>11</v>
      </c>
      <c r="C25" s="504"/>
      <c r="D25" s="504"/>
      <c r="E25" s="504"/>
      <c r="F25" s="504"/>
      <c r="G25" s="15"/>
      <c r="H25" s="46" t="e">
        <f>COUNTIFS(tbl_cleaning[Housing Team],"ATB5",#REF!,"&lt;&gt;NV")</f>
        <v>#REF!</v>
      </c>
      <c r="I25" s="10"/>
      <c r="J25" s="46" t="e">
        <f>SUM(COUNTIFS(tbl_cleaning[Housing Team],"ATB5",#REF!,{"1","2","3","4"}))</f>
        <v>#REF!</v>
      </c>
      <c r="K25" s="10"/>
      <c r="L25" s="16" t="e">
        <f>J25/H25</f>
        <v>#REF!</v>
      </c>
      <c r="M25" s="10"/>
      <c r="N25" s="16">
        <f>$F$1</f>
        <v>1</v>
      </c>
      <c r="O25" s="8"/>
      <c r="P25" s="46" t="e">
        <f>COUNTIFS(tbl_cleaning[Housing Team],"ATB5",#REF!,3)+COUNTIFS(tbl_cleaning[Housing Team],"ATB5",#REF!,4)</f>
        <v>#REF!</v>
      </c>
      <c r="Q25" s="10"/>
      <c r="R25" s="16">
        <f t="shared" si="8"/>
        <v>0</v>
      </c>
      <c r="S25" s="10"/>
      <c r="T25" s="40">
        <f t="shared" si="9"/>
        <v>0.9</v>
      </c>
      <c r="U25" s="8"/>
    </row>
    <row r="26" spans="1:21" ht="15.75" x14ac:dyDescent="0.25">
      <c r="A26" s="502"/>
      <c r="B26" s="504" t="s">
        <v>12</v>
      </c>
      <c r="C26" s="504"/>
      <c r="D26" s="504"/>
      <c r="E26" s="504"/>
      <c r="F26" s="504"/>
      <c r="G26" s="15"/>
      <c r="H26" s="46" t="e">
        <f>COUNTIFS(#REF!,"ATB5",#REF!,"&lt;&gt;NV")</f>
        <v>#REF!</v>
      </c>
      <c r="I26" s="10"/>
      <c r="J26" s="46" t="e">
        <f t="array" ref="J26">SUM(COUNTIFS(#REF!,"ATB5",#REF!,{"1","2","3","4"}))</f>
        <v>#REF!</v>
      </c>
      <c r="K26" s="10"/>
      <c r="L26" s="16" t="e">
        <f>J26/H26</f>
        <v>#REF!</v>
      </c>
      <c r="M26" s="10"/>
      <c r="N26" s="16">
        <f>$F$1</f>
        <v>1</v>
      </c>
      <c r="O26" s="8"/>
      <c r="P26" s="46" t="e">
        <f>COUNTIFS(#REF!,"ATB5",#REF!,3)+COUNTIFS(#REF!,"ATB5",#REF!,4)</f>
        <v>#REF!</v>
      </c>
      <c r="Q26" s="10"/>
      <c r="R26" s="16">
        <f t="shared" si="8"/>
        <v>0</v>
      </c>
      <c r="S26" s="10"/>
      <c r="T26" s="40">
        <f t="shared" si="9"/>
        <v>0.9</v>
      </c>
      <c r="U26" s="8"/>
    </row>
    <row r="27" spans="1:21" x14ac:dyDescent="0.25">
      <c r="A27" s="503"/>
      <c r="B27" s="504" t="s">
        <v>13</v>
      </c>
      <c r="C27" s="504"/>
      <c r="D27" s="504"/>
      <c r="E27" s="504"/>
      <c r="F27" s="504"/>
      <c r="G27" s="8"/>
      <c r="H27" s="46" t="e">
        <f>H24+H25+H26</f>
        <v>#REF!</v>
      </c>
      <c r="I27" s="10"/>
      <c r="J27" s="46" t="e">
        <f>SUM(J24:J26)</f>
        <v>#REF!</v>
      </c>
      <c r="K27" s="10"/>
      <c r="L27" s="16" t="e">
        <f>J27/H27</f>
        <v>#REF!</v>
      </c>
      <c r="M27" s="10"/>
      <c r="N27" s="16">
        <f>$F$1</f>
        <v>1</v>
      </c>
      <c r="O27" s="8"/>
      <c r="P27" s="46" t="e">
        <f>SUM(P24:P26)</f>
        <v>#REF!</v>
      </c>
      <c r="Q27" s="10"/>
      <c r="R27" s="16">
        <f t="shared" si="8"/>
        <v>0</v>
      </c>
      <c r="S27" s="10"/>
      <c r="T27" s="40">
        <f t="shared" si="9"/>
        <v>0.9</v>
      </c>
      <c r="U27" s="8"/>
    </row>
    <row r="28" spans="1:21" x14ac:dyDescent="0.25">
      <c r="H28"/>
      <c r="J28"/>
      <c r="P28"/>
    </row>
    <row r="29" spans="1:21" ht="15.75" x14ac:dyDescent="0.25">
      <c r="A29" s="502" t="s">
        <v>18</v>
      </c>
      <c r="B29" s="504" t="s">
        <v>10</v>
      </c>
      <c r="C29" s="504"/>
      <c r="D29" s="504"/>
      <c r="E29" s="504"/>
      <c r="F29" s="504"/>
      <c r="G29" s="15"/>
      <c r="H29" s="46" t="e">
        <f>COUNTIFS(tbl_cleaning[Housing Team],"ATB6",#REF!,"&lt;&gt;NV")</f>
        <v>#REF!</v>
      </c>
      <c r="I29" s="10"/>
      <c r="J29" s="46" t="e">
        <f>SUM(COUNTIFS(tbl_cleaning[Housing Team],"ATB6",#REF!,{"1","2","3","4"}))</f>
        <v>#REF!</v>
      </c>
      <c r="K29" s="10"/>
      <c r="L29" s="16" t="e">
        <f>J29/H29</f>
        <v>#REF!</v>
      </c>
      <c r="M29" s="10"/>
      <c r="N29" s="16">
        <f>$F$1</f>
        <v>1</v>
      </c>
      <c r="O29" s="8"/>
      <c r="P29" s="46" t="e">
        <f>COUNTIFS(tbl_cleaning[Housing Team],"ATB6",#REF!,3)+COUNTIFS(tbl_cleaning[Housing Team],"ATB6",#REF!,4)</f>
        <v>#REF!</v>
      </c>
      <c r="Q29" s="10"/>
      <c r="R29" s="16">
        <f t="shared" ref="R29:R32" si="10">IFERROR(P29/J29,0)</f>
        <v>0</v>
      </c>
      <c r="S29" s="10"/>
      <c r="T29" s="40">
        <f t="shared" ref="T29:T32" si="11">$Q$1</f>
        <v>0.9</v>
      </c>
      <c r="U29" s="8"/>
    </row>
    <row r="30" spans="1:21" ht="15.75" x14ac:dyDescent="0.25">
      <c r="A30" s="502"/>
      <c r="B30" s="504" t="s">
        <v>11</v>
      </c>
      <c r="C30" s="504"/>
      <c r="D30" s="504"/>
      <c r="E30" s="504"/>
      <c r="F30" s="504"/>
      <c r="G30" s="15"/>
      <c r="H30" s="46" t="e">
        <f>COUNTIFS(tbl_cleaning[Housing Team],"ATB6",#REF!,"&lt;&gt;NV")</f>
        <v>#REF!</v>
      </c>
      <c r="I30" s="10"/>
      <c r="J30" s="46" t="e">
        <f>SUM(COUNTIFS(tbl_cleaning[Housing Team],"ATB6",#REF!,{"1","2","3","4"}))</f>
        <v>#REF!</v>
      </c>
      <c r="K30" s="10"/>
      <c r="L30" s="16" t="e">
        <f>J30/H30</f>
        <v>#REF!</v>
      </c>
      <c r="M30" s="10"/>
      <c r="N30" s="16">
        <f>$F$1</f>
        <v>1</v>
      </c>
      <c r="O30" s="8"/>
      <c r="P30" s="46" t="e">
        <f>COUNTIFS(tbl_cleaning[Housing Team],"ATB6",#REF!,3)+COUNTIFS(tbl_cleaning[Housing Team],"ATB6",#REF!,4)</f>
        <v>#REF!</v>
      </c>
      <c r="Q30" s="10"/>
      <c r="R30" s="16">
        <f t="shared" si="10"/>
        <v>0</v>
      </c>
      <c r="S30" s="10"/>
      <c r="T30" s="40">
        <f t="shared" si="11"/>
        <v>0.9</v>
      </c>
      <c r="U30" s="8"/>
    </row>
    <row r="31" spans="1:21" ht="15.75" x14ac:dyDescent="0.25">
      <c r="A31" s="502"/>
      <c r="B31" s="504" t="s">
        <v>12</v>
      </c>
      <c r="C31" s="504"/>
      <c r="D31" s="504"/>
      <c r="E31" s="504"/>
      <c r="F31" s="504"/>
      <c r="G31" s="15"/>
      <c r="H31" s="46" t="e">
        <f>COUNTIFS(#REF!,"ATB6",#REF!,"&lt;&gt;NV")</f>
        <v>#REF!</v>
      </c>
      <c r="I31" s="10"/>
      <c r="J31" s="46" t="e">
        <f t="array" ref="J31">SUM(COUNTIFS(#REF!,"ATB6",#REF!,{"1","2","3","4"}))</f>
        <v>#REF!</v>
      </c>
      <c r="K31" s="10"/>
      <c r="L31" s="16" t="e">
        <f>J31/H31</f>
        <v>#REF!</v>
      </c>
      <c r="M31" s="10"/>
      <c r="N31" s="16">
        <f>$F$1</f>
        <v>1</v>
      </c>
      <c r="O31" s="8"/>
      <c r="P31" s="46" t="e">
        <f>COUNTIFS(#REF!,"ATB6",#REF!,3)+COUNTIFS(#REF!,"ATB6",#REF!,4)</f>
        <v>#REF!</v>
      </c>
      <c r="Q31" s="10"/>
      <c r="R31" s="16">
        <f t="shared" si="10"/>
        <v>0</v>
      </c>
      <c r="S31" s="10"/>
      <c r="T31" s="40">
        <f t="shared" si="11"/>
        <v>0.9</v>
      </c>
      <c r="U31" s="8"/>
    </row>
    <row r="32" spans="1:21" x14ac:dyDescent="0.25">
      <c r="A32" s="503"/>
      <c r="B32" s="504" t="s">
        <v>13</v>
      </c>
      <c r="C32" s="504"/>
      <c r="D32" s="504"/>
      <c r="E32" s="504"/>
      <c r="F32" s="504"/>
      <c r="G32" s="8"/>
      <c r="H32" s="46" t="e">
        <f>H29+H30+H31</f>
        <v>#REF!</v>
      </c>
      <c r="I32" s="10"/>
      <c r="J32" s="46" t="e">
        <f>SUM(J29:J31)</f>
        <v>#REF!</v>
      </c>
      <c r="K32" s="10"/>
      <c r="L32" s="16" t="e">
        <f>J32/H32</f>
        <v>#REF!</v>
      </c>
      <c r="M32" s="10"/>
      <c r="N32" s="16">
        <f>$F$1</f>
        <v>1</v>
      </c>
      <c r="O32" s="8"/>
      <c r="P32" s="46" t="e">
        <f>SUM(P29:P31)</f>
        <v>#REF!</v>
      </c>
      <c r="Q32" s="10"/>
      <c r="R32" s="16">
        <f t="shared" si="10"/>
        <v>0</v>
      </c>
      <c r="S32" s="10"/>
      <c r="T32" s="40">
        <f t="shared" si="11"/>
        <v>0.9</v>
      </c>
      <c r="U32" s="8"/>
    </row>
    <row r="33" spans="1:21" x14ac:dyDescent="0.25">
      <c r="H33"/>
      <c r="J33"/>
      <c r="P33"/>
    </row>
    <row r="34" spans="1:21" ht="15.75" x14ac:dyDescent="0.25">
      <c r="A34" s="502" t="s">
        <v>19</v>
      </c>
      <c r="B34" s="504" t="s">
        <v>10</v>
      </c>
      <c r="C34" s="504"/>
      <c r="D34" s="504"/>
      <c r="E34" s="504"/>
      <c r="F34" s="504"/>
      <c r="G34" s="15"/>
      <c r="H34" s="46" t="e">
        <f>COUNTIFS(tbl_cleaning[Housing Team],"ATB7",#REF!,"&lt;&gt;NV")</f>
        <v>#REF!</v>
      </c>
      <c r="I34" s="10"/>
      <c r="J34" s="46" t="e">
        <f>SUM(COUNTIFS(tbl_cleaning[Housing Team],"ATB7",#REF!,{"1","2","3","4"}))</f>
        <v>#REF!</v>
      </c>
      <c r="K34" s="10"/>
      <c r="L34" s="16" t="e">
        <f>J34/H34</f>
        <v>#REF!</v>
      </c>
      <c r="M34" s="10"/>
      <c r="N34" s="16">
        <f>$F$1</f>
        <v>1</v>
      </c>
      <c r="O34" s="8"/>
      <c r="P34" s="46" t="e">
        <f>COUNTIFS(tbl_cleaning[Housing Team],"ATB7",#REF!,3)+COUNTIFS(tbl_cleaning[Housing Team],"ATB7",#REF!,4)</f>
        <v>#REF!</v>
      </c>
      <c r="Q34" s="10"/>
      <c r="R34" s="16">
        <f t="shared" ref="R34:R37" si="12">IFERROR(P34/J34,0)</f>
        <v>0</v>
      </c>
      <c r="S34" s="10"/>
      <c r="T34" s="40">
        <f t="shared" ref="T34:T37" si="13">$Q$1</f>
        <v>0.9</v>
      </c>
      <c r="U34" s="8"/>
    </row>
    <row r="35" spans="1:21" ht="15.75" x14ac:dyDescent="0.25">
      <c r="A35" s="502"/>
      <c r="B35" s="504" t="s">
        <v>11</v>
      </c>
      <c r="C35" s="504"/>
      <c r="D35" s="504"/>
      <c r="E35" s="504"/>
      <c r="F35" s="504"/>
      <c r="G35" s="15"/>
      <c r="H35" s="46" t="e">
        <f>COUNTIFS(tbl_cleaning[Housing Team],"ATB7",#REF!,"&lt;&gt;NV")</f>
        <v>#REF!</v>
      </c>
      <c r="I35" s="10"/>
      <c r="J35" s="46" t="e">
        <f>SUM(COUNTIFS(tbl_cleaning[Housing Team],"ATB7",#REF!,{"1","2","3","4"}))</f>
        <v>#REF!</v>
      </c>
      <c r="K35" s="10"/>
      <c r="L35" s="16" t="e">
        <f>J35/H35</f>
        <v>#REF!</v>
      </c>
      <c r="M35" s="10"/>
      <c r="N35" s="16">
        <f t="shared" ref="N35:N37" si="14">$F$1</f>
        <v>1</v>
      </c>
      <c r="O35" s="8"/>
      <c r="P35" s="46" t="e">
        <f>COUNTIFS(tbl_cleaning[Housing Team],"ATB7",#REF!,3)+COUNTIFS(tbl_cleaning[Housing Team],"ATB7",#REF!,4)</f>
        <v>#REF!</v>
      </c>
      <c r="Q35" s="10"/>
      <c r="R35" s="16">
        <f t="shared" si="12"/>
        <v>0</v>
      </c>
      <c r="S35" s="10"/>
      <c r="T35" s="40">
        <f t="shared" si="13"/>
        <v>0.9</v>
      </c>
      <c r="U35" s="8"/>
    </row>
    <row r="36" spans="1:21" ht="15.75" x14ac:dyDescent="0.25">
      <c r="A36" s="502"/>
      <c r="B36" s="504" t="s">
        <v>12</v>
      </c>
      <c r="C36" s="504"/>
      <c r="D36" s="504"/>
      <c r="E36" s="504"/>
      <c r="F36" s="504"/>
      <c r="G36" s="15"/>
      <c r="H36" s="46" t="e">
        <f>COUNTIFS(#REF!,"ATB7",#REF!,"&lt;&gt;NV")</f>
        <v>#REF!</v>
      </c>
      <c r="I36" s="10"/>
      <c r="J36" s="46" t="e">
        <f t="array" ref="J36">SUM(COUNTIFS(#REF!,"ATB7",#REF!,{"1","2","3","4"}))</f>
        <v>#REF!</v>
      </c>
      <c r="K36" s="10"/>
      <c r="L36" s="16" t="e">
        <f>J36/H36</f>
        <v>#REF!</v>
      </c>
      <c r="M36" s="10"/>
      <c r="N36" s="16">
        <f t="shared" si="14"/>
        <v>1</v>
      </c>
      <c r="O36" s="8"/>
      <c r="P36" s="46" t="e">
        <f>COUNTIFS(#REF!,"ATB7",#REF!,3)+COUNTIFS(#REF!,"ATB7",#REF!,4)</f>
        <v>#REF!</v>
      </c>
      <c r="Q36" s="10"/>
      <c r="R36" s="16">
        <f t="shared" si="12"/>
        <v>0</v>
      </c>
      <c r="S36" s="10"/>
      <c r="T36" s="40">
        <f t="shared" si="13"/>
        <v>0.9</v>
      </c>
      <c r="U36" s="8"/>
    </row>
    <row r="37" spans="1:21" x14ac:dyDescent="0.25">
      <c r="A37" s="503"/>
      <c r="B37" s="504" t="s">
        <v>13</v>
      </c>
      <c r="C37" s="504"/>
      <c r="D37" s="504"/>
      <c r="E37" s="504"/>
      <c r="F37" s="504"/>
      <c r="G37" s="8"/>
      <c r="H37" s="46" t="e">
        <f>H34+H35+H36</f>
        <v>#REF!</v>
      </c>
      <c r="I37" s="10"/>
      <c r="J37" s="46" t="e">
        <f>SUM(J34:J36)</f>
        <v>#REF!</v>
      </c>
      <c r="K37" s="10"/>
      <c r="L37" s="16" t="e">
        <f>J37/H37</f>
        <v>#REF!</v>
      </c>
      <c r="M37" s="10"/>
      <c r="N37" s="16">
        <f t="shared" si="14"/>
        <v>1</v>
      </c>
      <c r="O37" s="8"/>
      <c r="P37" s="46" t="e">
        <f>SUM(P34:P36)</f>
        <v>#REF!</v>
      </c>
      <c r="Q37" s="10"/>
      <c r="R37" s="16">
        <f t="shared" si="12"/>
        <v>0</v>
      </c>
      <c r="S37" s="10"/>
      <c r="T37" s="40">
        <f t="shared" si="13"/>
        <v>0.9</v>
      </c>
      <c r="U37" s="8"/>
    </row>
    <row r="38" spans="1:21" x14ac:dyDescent="0.25">
      <c r="H38"/>
      <c r="J38"/>
      <c r="P38"/>
    </row>
    <row r="39" spans="1:21" ht="15.75" x14ac:dyDescent="0.25">
      <c r="A39" s="502" t="s">
        <v>20</v>
      </c>
      <c r="B39" s="507" t="s">
        <v>10</v>
      </c>
      <c r="C39" s="508"/>
      <c r="D39" s="508"/>
      <c r="E39" s="508"/>
      <c r="F39" s="509"/>
      <c r="G39" s="15"/>
      <c r="H39" s="46" t="e">
        <f>COUNTIFS(tbl_cleaning[Housing Team],"ATB9",#REF!,"&lt;&gt;NV")</f>
        <v>#REF!</v>
      </c>
      <c r="I39" s="10"/>
      <c r="J39" s="46" t="e">
        <f>SUM(COUNTIFS(tbl_cleaning[Housing Team],"ATB9",#REF!,{"1","2","3","4"}))</f>
        <v>#REF!</v>
      </c>
      <c r="K39" s="10"/>
      <c r="L39" s="16" t="e">
        <f>J39/H39</f>
        <v>#REF!</v>
      </c>
      <c r="M39" s="10"/>
      <c r="N39" s="16">
        <f t="shared" ref="N39:N42" si="15">$F$1</f>
        <v>1</v>
      </c>
      <c r="O39" s="8"/>
      <c r="P39" s="46" t="e">
        <f>COUNTIFS(tbl_cleaning[Housing Team],"ATB9",#REF!,3)+COUNTIFS(tbl_cleaning[Housing Team],"ATB9",#REF!,4)</f>
        <v>#REF!</v>
      </c>
      <c r="Q39" s="10"/>
      <c r="R39" s="16">
        <f t="shared" ref="R39:R42" si="16">IFERROR(P39/J39,0)</f>
        <v>0</v>
      </c>
      <c r="S39" s="10"/>
      <c r="T39" s="40">
        <f t="shared" ref="T39:T42" si="17">$Q$1</f>
        <v>0.9</v>
      </c>
      <c r="U39" s="8"/>
    </row>
    <row r="40" spans="1:21" ht="15.75" x14ac:dyDescent="0.25">
      <c r="A40" s="502"/>
      <c r="B40" s="507" t="s">
        <v>11</v>
      </c>
      <c r="C40" s="508"/>
      <c r="D40" s="508"/>
      <c r="E40" s="508"/>
      <c r="F40" s="509"/>
      <c r="G40" s="15"/>
      <c r="H40" s="46" t="e">
        <f>COUNTIFS(tbl_cleaning[Housing Team],"ATB9",#REF!,"&lt;&gt;NV")</f>
        <v>#REF!</v>
      </c>
      <c r="I40" s="10"/>
      <c r="J40" s="46" t="e">
        <f>SUM(COUNTIFS(tbl_cleaning[Housing Team],"ATB9",#REF!,{"1","2","3","4"}))</f>
        <v>#REF!</v>
      </c>
      <c r="K40" s="10"/>
      <c r="L40" s="16" t="e">
        <f>J40/H40</f>
        <v>#REF!</v>
      </c>
      <c r="M40" s="10"/>
      <c r="N40" s="16">
        <f t="shared" si="15"/>
        <v>1</v>
      </c>
      <c r="O40" s="8"/>
      <c r="P40" s="46" t="e">
        <f>COUNTIFS(tbl_cleaning[Housing Team],"ATB9",#REF!,3)+COUNTIFS(tbl_cleaning[Housing Team],"ATB9",#REF!,4)</f>
        <v>#REF!</v>
      </c>
      <c r="Q40" s="10"/>
      <c r="R40" s="16">
        <f t="shared" si="16"/>
        <v>0</v>
      </c>
      <c r="S40" s="10"/>
      <c r="T40" s="40">
        <f t="shared" si="17"/>
        <v>0.9</v>
      </c>
      <c r="U40" s="8"/>
    </row>
    <row r="41" spans="1:21" ht="15.75" x14ac:dyDescent="0.25">
      <c r="A41" s="502"/>
      <c r="B41" s="507" t="s">
        <v>12</v>
      </c>
      <c r="C41" s="508"/>
      <c r="D41" s="508"/>
      <c r="E41" s="508"/>
      <c r="F41" s="509"/>
      <c r="G41" s="15"/>
      <c r="H41" s="46" t="e">
        <f>(COUNTIFS(#REF!,"ATB9",#REF!,"&lt;&gt;NV"))</f>
        <v>#REF!</v>
      </c>
      <c r="I41" s="10"/>
      <c r="J41" s="46" t="e">
        <f t="array" ref="J41">SUM(COUNTIFS(#REF!,"ATB9",#REF!,{"1","2","3","4"}))</f>
        <v>#REF!</v>
      </c>
      <c r="K41" s="10"/>
      <c r="L41" s="16" t="e">
        <f>J41/H41</f>
        <v>#REF!</v>
      </c>
      <c r="M41" s="10"/>
      <c r="N41" s="16">
        <f t="shared" si="15"/>
        <v>1</v>
      </c>
      <c r="O41" s="8"/>
      <c r="P41" s="46" t="e">
        <f>COUNTIFS(#REF!,"ATB9",#REF!,3)+COUNTIFS(#REF!,"ATB9",#REF!,4)</f>
        <v>#REF!</v>
      </c>
      <c r="Q41" s="10"/>
      <c r="R41" s="16">
        <f t="shared" si="16"/>
        <v>0</v>
      </c>
      <c r="S41" s="10"/>
      <c r="T41" s="40">
        <f t="shared" si="17"/>
        <v>0.9</v>
      </c>
      <c r="U41" s="8"/>
    </row>
    <row r="42" spans="1:21" x14ac:dyDescent="0.25">
      <c r="A42" s="502"/>
      <c r="B42" s="507" t="s">
        <v>13</v>
      </c>
      <c r="C42" s="508"/>
      <c r="D42" s="508"/>
      <c r="E42" s="508"/>
      <c r="F42" s="509"/>
      <c r="G42" s="8"/>
      <c r="H42" s="46" t="e">
        <f>H39+H40+H41</f>
        <v>#REF!</v>
      </c>
      <c r="I42" s="10"/>
      <c r="J42" s="46" t="e">
        <f>SUM(J39:J41)</f>
        <v>#REF!</v>
      </c>
      <c r="K42" s="10"/>
      <c r="L42" s="16" t="e">
        <f>J42/H42</f>
        <v>#REF!</v>
      </c>
      <c r="M42" s="10"/>
      <c r="N42" s="16">
        <f t="shared" si="15"/>
        <v>1</v>
      </c>
      <c r="O42" s="8"/>
      <c r="P42" s="46" t="e">
        <f>SUM(P39:P41)</f>
        <v>#REF!</v>
      </c>
      <c r="Q42" s="10"/>
      <c r="R42" s="16">
        <f t="shared" si="16"/>
        <v>0</v>
      </c>
      <c r="S42" s="10"/>
      <c r="T42" s="40">
        <f t="shared" si="17"/>
        <v>0.9</v>
      </c>
      <c r="U42" s="8"/>
    </row>
    <row r="43" spans="1:21" x14ac:dyDescent="0.25">
      <c r="H43"/>
      <c r="J43"/>
      <c r="P43"/>
    </row>
    <row r="44" spans="1:21" ht="15.75" x14ac:dyDescent="0.25">
      <c r="A44" s="505" t="s">
        <v>21</v>
      </c>
      <c r="B44" s="504" t="s">
        <v>10</v>
      </c>
      <c r="C44" s="504"/>
      <c r="D44" s="504"/>
      <c r="E44" s="504"/>
      <c r="F44" s="504"/>
      <c r="G44" s="15"/>
      <c r="H44" s="46" t="e">
        <f>COUNTIFS(tbl_cleaning[Housing Team],"ATB10",#REF!,"&lt;&gt;NV")</f>
        <v>#REF!</v>
      </c>
      <c r="I44" s="10"/>
      <c r="J44" s="46" t="e">
        <f>SUM(COUNTIFS(tbl_cleaning[Housing Team],"ATB10",#REF!,{"1","2","3","4"}))</f>
        <v>#REF!</v>
      </c>
      <c r="K44" s="10"/>
      <c r="L44" s="16" t="e">
        <f>J44/H44</f>
        <v>#REF!</v>
      </c>
      <c r="M44" s="10"/>
      <c r="N44" s="16">
        <f>$F$1</f>
        <v>1</v>
      </c>
      <c r="O44" s="8"/>
      <c r="P44" s="46" t="e">
        <f>COUNTIFS(tbl_cleaning[Housing Team],"ATB10",#REF!,3)+COUNTIFS(tbl_cleaning[Housing Team],"ATB10",#REF!,4)</f>
        <v>#REF!</v>
      </c>
      <c r="Q44" s="10"/>
      <c r="R44" s="16">
        <f t="shared" ref="R44:R47" si="18">IFERROR(P44/J44,0)</f>
        <v>0</v>
      </c>
      <c r="S44" s="10"/>
      <c r="T44" s="40">
        <f t="shared" ref="T44:T47" si="19">$Q$1</f>
        <v>0.9</v>
      </c>
      <c r="U44" s="8"/>
    </row>
    <row r="45" spans="1:21" ht="15.75" x14ac:dyDescent="0.25">
      <c r="A45" s="505"/>
      <c r="B45" s="504" t="s">
        <v>11</v>
      </c>
      <c r="C45" s="504"/>
      <c r="D45" s="504"/>
      <c r="E45" s="504"/>
      <c r="F45" s="504"/>
      <c r="G45" s="15"/>
      <c r="H45" s="46" t="e">
        <f>COUNTIFS(tbl_cleaning[Housing Team],"ATB10",#REF!,"&lt;&gt;NV")</f>
        <v>#REF!</v>
      </c>
      <c r="I45" s="10"/>
      <c r="J45" s="46" t="e">
        <f>SUM(COUNTIFS(tbl_cleaning[Housing Team],"ATB10",#REF!,{"1","2","3","4"}))</f>
        <v>#REF!</v>
      </c>
      <c r="K45" s="10"/>
      <c r="L45" s="16" t="e">
        <f>J45/H45</f>
        <v>#REF!</v>
      </c>
      <c r="M45" s="10"/>
      <c r="N45" s="16">
        <f>$F$1</f>
        <v>1</v>
      </c>
      <c r="O45" s="8"/>
      <c r="P45" s="46" t="e">
        <f>COUNTIFS(tbl_cleaning[Housing Team],"ATB10",#REF!,3)+COUNTIFS(tbl_cleaning[Housing Team],"ATB10",#REF!,4)</f>
        <v>#REF!</v>
      </c>
      <c r="Q45" s="10"/>
      <c r="R45" s="16">
        <f t="shared" si="18"/>
        <v>0</v>
      </c>
      <c r="S45" s="10"/>
      <c r="T45" s="40">
        <f t="shared" si="19"/>
        <v>0.9</v>
      </c>
      <c r="U45" s="8"/>
    </row>
    <row r="46" spans="1:21" ht="15.75" x14ac:dyDescent="0.25">
      <c r="A46" s="505"/>
      <c r="B46" s="504" t="s">
        <v>12</v>
      </c>
      <c r="C46" s="504"/>
      <c r="D46" s="504"/>
      <c r="E46" s="504"/>
      <c r="F46" s="504"/>
      <c r="G46" s="15"/>
      <c r="H46" s="46" t="e">
        <f>COUNTIFS(#REF!,"ATB10",#REF!,"&lt;&gt;NV")</f>
        <v>#REF!</v>
      </c>
      <c r="I46" s="10"/>
      <c r="J46" s="46" t="e">
        <f t="array" ref="J46">SUM(COUNTIFS(#REF!,"ATB10",#REF!,{"1","2","3","4"}))</f>
        <v>#REF!</v>
      </c>
      <c r="K46" s="10"/>
      <c r="L46" s="16" t="e">
        <f>J46/H46</f>
        <v>#REF!</v>
      </c>
      <c r="M46" s="10"/>
      <c r="N46" s="16">
        <f>$F$1</f>
        <v>1</v>
      </c>
      <c r="O46" s="8"/>
      <c r="P46" s="46" t="e">
        <f>COUNTIFS(#REF!,"ATB10",#REF!,3)+COUNTIFS(#REF!,"ATB10",#REF!,4)</f>
        <v>#REF!</v>
      </c>
      <c r="Q46" s="10"/>
      <c r="R46" s="16">
        <f t="shared" si="18"/>
        <v>0</v>
      </c>
      <c r="S46" s="10"/>
      <c r="T46" s="40">
        <f t="shared" si="19"/>
        <v>0.9</v>
      </c>
      <c r="U46" s="8"/>
    </row>
    <row r="47" spans="1:21" x14ac:dyDescent="0.25">
      <c r="A47" s="506"/>
      <c r="B47" s="504" t="s">
        <v>13</v>
      </c>
      <c r="C47" s="504"/>
      <c r="D47" s="504"/>
      <c r="E47" s="504"/>
      <c r="F47" s="504"/>
      <c r="G47" s="8"/>
      <c r="H47" s="46" t="e">
        <f>H44+H45+H46</f>
        <v>#REF!</v>
      </c>
      <c r="I47" s="10"/>
      <c r="J47" s="46" t="e">
        <f>SUM(J44:J46)</f>
        <v>#REF!</v>
      </c>
      <c r="K47" s="10"/>
      <c r="L47" s="16" t="e">
        <f>J47/H47</f>
        <v>#REF!</v>
      </c>
      <c r="M47" s="10"/>
      <c r="N47" s="16">
        <f>$F$1</f>
        <v>1</v>
      </c>
      <c r="O47" s="8"/>
      <c r="P47" s="46" t="e">
        <f>SUM(P44:P46)</f>
        <v>#REF!</v>
      </c>
      <c r="Q47" s="10"/>
      <c r="R47" s="16">
        <f t="shared" si="18"/>
        <v>0</v>
      </c>
      <c r="S47" s="10"/>
      <c r="T47" s="40">
        <f t="shared" si="19"/>
        <v>0.9</v>
      </c>
      <c r="U47" s="8"/>
    </row>
    <row r="48" spans="1:21" x14ac:dyDescent="0.25">
      <c r="H48"/>
      <c r="J48"/>
      <c r="P48"/>
    </row>
    <row r="49" spans="1:21" ht="15.75" customHeight="1" x14ac:dyDescent="0.25">
      <c r="A49" s="502" t="s">
        <v>22</v>
      </c>
      <c r="B49" s="504" t="s">
        <v>10</v>
      </c>
      <c r="C49" s="504"/>
      <c r="D49" s="504"/>
      <c r="E49" s="504"/>
      <c r="F49" s="504"/>
      <c r="G49" s="15"/>
      <c r="H49" s="46" t="e">
        <f>COUNTIFS(tbl_cleaning[Housing Team],"ATB13",#REF!,"&lt;&gt;NV")</f>
        <v>#REF!</v>
      </c>
      <c r="I49" s="10"/>
      <c r="J49" s="46" t="e">
        <f>SUM(COUNTIFS(tbl_cleaning[Housing Team],"ATB13",#REF!,{"1","2","3","4"}))</f>
        <v>#REF!</v>
      </c>
      <c r="K49" s="10"/>
      <c r="L49" s="16" t="e">
        <f>J49/H49</f>
        <v>#REF!</v>
      </c>
      <c r="M49" s="10"/>
      <c r="N49" s="16">
        <f>$F$1</f>
        <v>1</v>
      </c>
      <c r="O49" s="8"/>
      <c r="P49" s="46" t="e">
        <f>COUNTIFS(tbl_cleaning[Housing Team],"ATB13",#REF!,3)+COUNTIFS(tbl_cleaning[Housing Team],"ATB13",#REF!,4)</f>
        <v>#REF!</v>
      </c>
      <c r="Q49" s="10"/>
      <c r="R49" s="16">
        <f t="shared" ref="R49:R52" si="20">IFERROR(P49/J49,0)</f>
        <v>0</v>
      </c>
      <c r="S49" s="10"/>
      <c r="T49" s="40">
        <f t="shared" ref="T49:T52" si="21">$Q$1</f>
        <v>0.9</v>
      </c>
      <c r="U49" s="8"/>
    </row>
    <row r="50" spans="1:21" ht="15.75" x14ac:dyDescent="0.25">
      <c r="A50" s="502"/>
      <c r="B50" s="504" t="s">
        <v>11</v>
      </c>
      <c r="C50" s="504"/>
      <c r="D50" s="504"/>
      <c r="E50" s="504"/>
      <c r="F50" s="504"/>
      <c r="G50" s="15"/>
      <c r="H50" s="46" t="e">
        <f>COUNTIFS(tbl_cleaning[Housing Team],"ATB13",#REF!,"&lt;&gt;NV")</f>
        <v>#REF!</v>
      </c>
      <c r="I50" s="10"/>
      <c r="J50" s="46" t="e">
        <f>SUM(COUNTIFS(tbl_cleaning[Housing Team],"ATB13",#REF!,{"1","2","3","4"}))</f>
        <v>#REF!</v>
      </c>
      <c r="K50" s="10"/>
      <c r="L50" s="16" t="e">
        <f>J50/H50</f>
        <v>#REF!</v>
      </c>
      <c r="M50" s="10"/>
      <c r="N50" s="16">
        <f>$F$1</f>
        <v>1</v>
      </c>
      <c r="O50" s="8"/>
      <c r="P50" s="46" t="e">
        <f>COUNTIFS(tbl_cleaning[Housing Team],"ATB13",#REF!,3)+COUNTIFS(tbl_cleaning[Housing Team],"ATB13",#REF!,4)</f>
        <v>#REF!</v>
      </c>
      <c r="Q50" s="10"/>
      <c r="R50" s="16">
        <f t="shared" si="20"/>
        <v>0</v>
      </c>
      <c r="S50" s="10"/>
      <c r="T50" s="40">
        <f t="shared" si="21"/>
        <v>0.9</v>
      </c>
      <c r="U50" s="8"/>
    </row>
    <row r="51" spans="1:21" ht="15.75" x14ac:dyDescent="0.25">
      <c r="A51" s="502"/>
      <c r="B51" s="504" t="s">
        <v>12</v>
      </c>
      <c r="C51" s="504"/>
      <c r="D51" s="504"/>
      <c r="E51" s="504"/>
      <c r="F51" s="504"/>
      <c r="G51" s="15"/>
      <c r="H51" s="46" t="e">
        <f>COUNTIFS(#REF!,"ATB13",#REF!,"&lt;&gt;NV")</f>
        <v>#REF!</v>
      </c>
      <c r="I51" s="10"/>
      <c r="J51" s="46" t="e">
        <f t="array" ref="J51">SUM(COUNTIFS(#REF!,"ATB13",#REF!,{"1","2","3","4"}))</f>
        <v>#REF!</v>
      </c>
      <c r="K51" s="10"/>
      <c r="L51" s="16" t="e">
        <f>J51/H51</f>
        <v>#REF!</v>
      </c>
      <c r="M51" s="10"/>
      <c r="N51" s="16">
        <f>$F$1</f>
        <v>1</v>
      </c>
      <c r="O51" s="8"/>
      <c r="P51" s="46" t="e">
        <f>COUNTIFS(#REF!,"ATB13",#REF!,3)+COUNTIFS(#REF!,"ATB13",#REF!,4)</f>
        <v>#REF!</v>
      </c>
      <c r="Q51" s="10"/>
      <c r="R51" s="16">
        <f t="shared" si="20"/>
        <v>0</v>
      </c>
      <c r="S51" s="10"/>
      <c r="T51" s="40">
        <f t="shared" si="21"/>
        <v>0.9</v>
      </c>
      <c r="U51" s="8"/>
    </row>
    <row r="52" spans="1:21" x14ac:dyDescent="0.25">
      <c r="A52" s="503"/>
      <c r="B52" s="504" t="s">
        <v>13</v>
      </c>
      <c r="C52" s="504"/>
      <c r="D52" s="504"/>
      <c r="E52" s="504"/>
      <c r="F52" s="504"/>
      <c r="G52" s="8"/>
      <c r="H52" s="46" t="e">
        <f>H49+H50+H51</f>
        <v>#REF!</v>
      </c>
      <c r="I52" s="10"/>
      <c r="J52" s="46" t="e">
        <f>SUM(J49:J51)</f>
        <v>#REF!</v>
      </c>
      <c r="K52" s="10"/>
      <c r="L52" s="16" t="e">
        <f>J52/H52</f>
        <v>#REF!</v>
      </c>
      <c r="M52" s="10"/>
      <c r="N52" s="16">
        <f>$F$1</f>
        <v>1</v>
      </c>
      <c r="O52" s="8"/>
      <c r="P52" s="46" t="e">
        <f>SUM(P49:P51)</f>
        <v>#REF!</v>
      </c>
      <c r="Q52" s="10"/>
      <c r="R52" s="16">
        <f t="shared" si="20"/>
        <v>0</v>
      </c>
      <c r="S52" s="10"/>
      <c r="T52" s="40">
        <f t="shared" si="21"/>
        <v>0.9</v>
      </c>
      <c r="U52" s="8"/>
    </row>
    <row r="53" spans="1:21" ht="15.75" customHeight="1" x14ac:dyDescent="0.25">
      <c r="H53"/>
      <c r="J53"/>
      <c r="P53"/>
    </row>
    <row r="54" spans="1:21" ht="15.75" customHeight="1" x14ac:dyDescent="0.25">
      <c r="A54" s="505" t="s">
        <v>23</v>
      </c>
      <c r="B54" s="504" t="s">
        <v>10</v>
      </c>
      <c r="C54" s="504"/>
      <c r="D54" s="504"/>
      <c r="E54" s="504"/>
      <c r="F54" s="504"/>
      <c r="G54" s="15"/>
      <c r="H54" s="46" t="e">
        <f>COUNTIFS(tbl_cleaning[Housing Team],"ATB14",#REF!,"&lt;&gt;NV")</f>
        <v>#REF!</v>
      </c>
      <c r="I54" s="10"/>
      <c r="J54" s="46" t="e">
        <f>SUM(COUNTIFS(tbl_cleaning[Housing Team],"ATB14",#REF!,{"1","2","3","4"}))</f>
        <v>#REF!</v>
      </c>
      <c r="K54" s="10"/>
      <c r="L54" s="16" t="e">
        <f>J54/H54</f>
        <v>#REF!</v>
      </c>
      <c r="M54" s="10"/>
      <c r="N54" s="16">
        <f>$F$1</f>
        <v>1</v>
      </c>
      <c r="O54" s="8"/>
      <c r="P54" s="46" t="e">
        <f>COUNTIFS(tbl_cleaning[Housing Team],"ATB14",#REF!,3)+COUNTIFS(tbl_cleaning[Housing Team],"ATB14",#REF!,4)</f>
        <v>#REF!</v>
      </c>
      <c r="Q54" s="10"/>
      <c r="R54" s="16">
        <f t="shared" ref="R54:R57" si="22">IFERROR(P54/J54,0)</f>
        <v>0</v>
      </c>
      <c r="S54" s="10"/>
      <c r="T54" s="40">
        <f t="shared" ref="T54:T57" si="23">$Q$1</f>
        <v>0.9</v>
      </c>
      <c r="U54" s="8"/>
    </row>
    <row r="55" spans="1:21" ht="15.75" customHeight="1" x14ac:dyDescent="0.25">
      <c r="A55" s="505"/>
      <c r="B55" s="504" t="s">
        <v>11</v>
      </c>
      <c r="C55" s="504"/>
      <c r="D55" s="504"/>
      <c r="E55" s="504"/>
      <c r="F55" s="504"/>
      <c r="G55" s="15"/>
      <c r="H55" s="46" t="e">
        <f>COUNTIFS(tbl_cleaning[Housing Team],"ATB14",#REF!,"&lt;&gt;NV")</f>
        <v>#REF!</v>
      </c>
      <c r="I55" s="10"/>
      <c r="J55" s="46" t="e">
        <f>SUM(COUNTIFS(tbl_cleaning[Housing Team],"ATB14",#REF!,{"1","2","3","4"}))</f>
        <v>#REF!</v>
      </c>
      <c r="K55" s="10"/>
      <c r="L55" s="16" t="e">
        <f>J55/H55</f>
        <v>#REF!</v>
      </c>
      <c r="M55" s="10"/>
      <c r="N55" s="16">
        <f>$F$1</f>
        <v>1</v>
      </c>
      <c r="O55" s="8"/>
      <c r="P55" s="46" t="e">
        <f>COUNTIFS(tbl_cleaning[Housing Team],"ATB14",#REF!,3)+COUNTIFS(tbl_cleaning[Housing Team],"ATB14",#REF!,4)</f>
        <v>#REF!</v>
      </c>
      <c r="Q55" s="10"/>
      <c r="R55" s="16">
        <f t="shared" si="22"/>
        <v>0</v>
      </c>
      <c r="S55" s="10"/>
      <c r="T55" s="40">
        <f t="shared" si="23"/>
        <v>0.9</v>
      </c>
      <c r="U55" s="8"/>
    </row>
    <row r="56" spans="1:21" ht="15.75" customHeight="1" x14ac:dyDescent="0.25">
      <c r="A56" s="505"/>
      <c r="B56" s="504" t="s">
        <v>12</v>
      </c>
      <c r="C56" s="504"/>
      <c r="D56" s="504"/>
      <c r="E56" s="504"/>
      <c r="F56" s="504"/>
      <c r="G56" s="15"/>
      <c r="H56" s="46" t="e">
        <f>COUNTIFS(#REF!,"ATB14",#REF!,"&lt;&gt;NV")</f>
        <v>#REF!</v>
      </c>
      <c r="I56" s="10"/>
      <c r="J56" s="46" t="e">
        <f t="array" ref="J56">SUM(COUNTIFS(#REF!,"ATB14",#REF!,{"1","2","3","4"}))</f>
        <v>#REF!</v>
      </c>
      <c r="K56" s="10"/>
      <c r="L56" s="16" t="e">
        <f>J56/H56</f>
        <v>#REF!</v>
      </c>
      <c r="M56" s="10"/>
      <c r="N56" s="16">
        <f>$F$1</f>
        <v>1</v>
      </c>
      <c r="O56" s="8"/>
      <c r="P56" s="46" t="e">
        <f>COUNTIFS(#REF!,"ATB14",#REF!,3)+COUNTIFS(#REF!,"ATB14",#REF!,4)</f>
        <v>#REF!</v>
      </c>
      <c r="Q56" s="10"/>
      <c r="R56" s="16">
        <f t="shared" si="22"/>
        <v>0</v>
      </c>
      <c r="S56" s="10"/>
      <c r="T56" s="40">
        <f t="shared" si="23"/>
        <v>0.9</v>
      </c>
      <c r="U56" s="8"/>
    </row>
    <row r="57" spans="1:21" ht="15.75" customHeight="1" x14ac:dyDescent="0.25">
      <c r="A57" s="506"/>
      <c r="B57" s="504" t="s">
        <v>13</v>
      </c>
      <c r="C57" s="504"/>
      <c r="D57" s="504"/>
      <c r="E57" s="504"/>
      <c r="F57" s="504"/>
      <c r="G57" s="8"/>
      <c r="H57" s="46" t="e">
        <f>H54+H55+H56</f>
        <v>#REF!</v>
      </c>
      <c r="I57" s="10"/>
      <c r="J57" s="46" t="e">
        <f>SUM(J54:J56)</f>
        <v>#REF!</v>
      </c>
      <c r="K57" s="10"/>
      <c r="L57" s="16" t="e">
        <f>J57/H57</f>
        <v>#REF!</v>
      </c>
      <c r="M57" s="10"/>
      <c r="N57" s="16">
        <f>$F$1</f>
        <v>1</v>
      </c>
      <c r="O57" s="8"/>
      <c r="P57" s="46" t="e">
        <f>SUM(P54:P56)</f>
        <v>#REF!</v>
      </c>
      <c r="Q57" s="10"/>
      <c r="R57" s="16">
        <f t="shared" si="22"/>
        <v>0</v>
      </c>
      <c r="S57" s="10"/>
      <c r="T57" s="40">
        <f t="shared" si="23"/>
        <v>0.9</v>
      </c>
      <c r="U57" s="8"/>
    </row>
    <row r="58" spans="1:21" ht="15.75" customHeight="1" x14ac:dyDescent="0.25">
      <c r="H58"/>
      <c r="J58"/>
      <c r="P58"/>
    </row>
    <row r="59" spans="1:21" ht="15.75" customHeight="1" x14ac:dyDescent="0.25">
      <c r="A59" s="510" t="s">
        <v>24</v>
      </c>
      <c r="B59" s="504" t="s">
        <v>10</v>
      </c>
      <c r="C59" s="504"/>
      <c r="D59" s="504"/>
      <c r="E59" s="504"/>
      <c r="F59" s="504"/>
      <c r="H59" s="46" t="e">
        <f>COUNTIFS(tbl_cleaning[Housing Team],"ATB18",#REF!,"&lt;&gt;NV")</f>
        <v>#REF!</v>
      </c>
      <c r="I59" s="10"/>
      <c r="J59" s="46" t="e">
        <f>SUM(COUNTIFS(tbl_cleaning[Housing Team],"ATB18",#REF!,{"1","2","3","4"}))</f>
        <v>#REF!</v>
      </c>
      <c r="K59" s="10"/>
      <c r="L59" s="16" t="e">
        <f>J59/H59</f>
        <v>#REF!</v>
      </c>
      <c r="M59" s="10"/>
      <c r="N59" s="16">
        <f>$F$1</f>
        <v>1</v>
      </c>
      <c r="O59" s="8"/>
      <c r="P59" s="46" t="e">
        <f>COUNTIFS(tbl_cleaning[Housing Team],"ATB18",#REF!,3)+COUNTIFS(tbl_cleaning[Housing Team],"ATB18",#REF!,4)</f>
        <v>#REF!</v>
      </c>
      <c r="Q59" s="10"/>
      <c r="R59" s="16">
        <f t="shared" ref="R59:R62" si="24">IFERROR(P59/J59,0)</f>
        <v>0</v>
      </c>
      <c r="S59" s="10"/>
      <c r="T59" s="40">
        <f t="shared" ref="T59:T62" si="25">$Q$1</f>
        <v>0.9</v>
      </c>
    </row>
    <row r="60" spans="1:21" ht="15.75" customHeight="1" x14ac:dyDescent="0.25">
      <c r="A60" s="510"/>
      <c r="B60" s="504" t="s">
        <v>11</v>
      </c>
      <c r="C60" s="504"/>
      <c r="D60" s="504"/>
      <c r="E60" s="504"/>
      <c r="F60" s="504"/>
      <c r="H60" s="46" t="e">
        <f>COUNTIFS(tbl_cleaning[Housing Team],"ATB18",#REF!,"&lt;&gt;NV")</f>
        <v>#REF!</v>
      </c>
      <c r="I60" s="10"/>
      <c r="J60" s="46" t="e">
        <f>SUM(COUNTIFS(tbl_cleaning[Housing Team],"ATB18",#REF!,{"1","2","3","4"}))</f>
        <v>#REF!</v>
      </c>
      <c r="K60" s="10"/>
      <c r="L60" s="16" t="e">
        <f>J60/H60</f>
        <v>#REF!</v>
      </c>
      <c r="M60" s="10"/>
      <c r="N60" s="16">
        <f>$F$1</f>
        <v>1</v>
      </c>
      <c r="O60" s="8"/>
      <c r="P60" s="46" t="e">
        <f>COUNTIFS(tbl_cleaning[Housing Team],"ATB18",#REF!,3)+COUNTIFS(tbl_cleaning[Housing Team],"ATB18",#REF!,4)</f>
        <v>#REF!</v>
      </c>
      <c r="Q60" s="10"/>
      <c r="R60" s="16">
        <f t="shared" si="24"/>
        <v>0</v>
      </c>
      <c r="S60" s="10"/>
      <c r="T60" s="40">
        <f t="shared" si="25"/>
        <v>0.9</v>
      </c>
    </row>
    <row r="61" spans="1:21" ht="15.75" customHeight="1" x14ac:dyDescent="0.25">
      <c r="A61" s="510"/>
      <c r="B61" s="504" t="s">
        <v>12</v>
      </c>
      <c r="C61" s="504"/>
      <c r="D61" s="504"/>
      <c r="E61" s="504"/>
      <c r="F61" s="504"/>
      <c r="H61" s="46" t="e">
        <f>COUNTIFS(#REF!,"ATB18",#REF!,"&lt;&gt;NV")</f>
        <v>#REF!</v>
      </c>
      <c r="I61" s="10"/>
      <c r="J61" s="46" t="e">
        <f t="array" ref="J61">SUM(COUNTIFS(#REF!,"ATB18",#REF!,{"1","2","3","4"}))</f>
        <v>#REF!</v>
      </c>
      <c r="K61" s="10"/>
      <c r="L61" s="16" t="e">
        <f>J61/H61</f>
        <v>#REF!</v>
      </c>
      <c r="M61" s="10"/>
      <c r="N61" s="16">
        <f>$F$1</f>
        <v>1</v>
      </c>
      <c r="O61" s="8"/>
      <c r="P61" s="46" t="e">
        <f>COUNTIFS(#REF!,"ATB18",#REF!,3)+COUNTIFS(#REF!,"ATB18",#REF!,4)</f>
        <v>#REF!</v>
      </c>
      <c r="Q61" s="10"/>
      <c r="R61" s="16">
        <f t="shared" si="24"/>
        <v>0</v>
      </c>
      <c r="S61" s="10"/>
      <c r="T61" s="40">
        <f t="shared" si="25"/>
        <v>0.9</v>
      </c>
    </row>
    <row r="62" spans="1:21" ht="15.75" customHeight="1" x14ac:dyDescent="0.25">
      <c r="A62" s="511"/>
      <c r="B62" s="504" t="s">
        <v>13</v>
      </c>
      <c r="C62" s="504"/>
      <c r="D62" s="504"/>
      <c r="E62" s="504"/>
      <c r="F62" s="504"/>
      <c r="H62" s="46" t="e">
        <f>H59+H60+H61</f>
        <v>#REF!</v>
      </c>
      <c r="I62" s="10"/>
      <c r="J62" s="46" t="e">
        <f>SUM(J59:J61)</f>
        <v>#REF!</v>
      </c>
      <c r="K62" s="10"/>
      <c r="L62" s="16" t="e">
        <f>J62/H62</f>
        <v>#REF!</v>
      </c>
      <c r="M62" s="10"/>
      <c r="N62" s="16">
        <f>$F$1</f>
        <v>1</v>
      </c>
      <c r="O62" s="8"/>
      <c r="P62" s="46" t="e">
        <f>SUM(P59:P61)</f>
        <v>#REF!</v>
      </c>
      <c r="Q62" s="10"/>
      <c r="R62" s="16">
        <f t="shared" si="24"/>
        <v>0</v>
      </c>
      <c r="S62" s="10"/>
      <c r="T62" s="40">
        <f t="shared" si="25"/>
        <v>0.9</v>
      </c>
    </row>
    <row r="63" spans="1:21" ht="16.5" customHeight="1" x14ac:dyDescent="0.25">
      <c r="H63"/>
      <c r="J63"/>
      <c r="P63"/>
    </row>
    <row r="64" spans="1:21" ht="16.5" customHeight="1" x14ac:dyDescent="0.25">
      <c r="A64" s="510" t="s">
        <v>25</v>
      </c>
      <c r="B64" s="507" t="s">
        <v>10</v>
      </c>
      <c r="C64" s="508"/>
      <c r="D64" s="508"/>
      <c r="E64" s="508"/>
      <c r="F64" s="509"/>
      <c r="H64" s="46" t="e">
        <f>COUNTIFS(tbl_cleaning[Housing Team],"ATB19",#REF!,"&lt;&gt;NV")</f>
        <v>#REF!</v>
      </c>
      <c r="I64" s="10"/>
      <c r="J64" s="46" t="e">
        <f>SUM(COUNTIFS(tbl_cleaning[Housing Team],"ATB19",#REF!,{"1","2","3","4"}))</f>
        <v>#REF!</v>
      </c>
      <c r="K64" s="10"/>
      <c r="L64" s="16" t="e">
        <f>J64/H64</f>
        <v>#REF!</v>
      </c>
      <c r="M64" s="10"/>
      <c r="N64" s="16">
        <f>$F$1</f>
        <v>1</v>
      </c>
      <c r="O64" s="8"/>
      <c r="P64" s="46" t="e">
        <f>COUNTIFS(tbl_cleaning[Housing Team],"ATB19",#REF!,3)+COUNTIFS(tbl_cleaning[Housing Team],"ATB19",#REF!,4)</f>
        <v>#REF!</v>
      </c>
      <c r="Q64" s="10"/>
      <c r="R64" s="16">
        <f t="shared" ref="R64:R67" si="26">IFERROR(P64/J64,0)</f>
        <v>0</v>
      </c>
      <c r="S64" s="10"/>
      <c r="T64" s="40">
        <f t="shared" ref="T64:T67" si="27">$Q$1</f>
        <v>0.9</v>
      </c>
    </row>
    <row r="65" spans="1:21" ht="16.5" customHeight="1" x14ac:dyDescent="0.25">
      <c r="A65" s="510"/>
      <c r="B65" s="507" t="s">
        <v>11</v>
      </c>
      <c r="C65" s="508"/>
      <c r="D65" s="508"/>
      <c r="E65" s="508"/>
      <c r="F65" s="509"/>
      <c r="H65" s="46" t="e">
        <f>COUNTIFS(tbl_cleaning[Housing Team],"ATB19",#REF!,"&lt;&gt;NV")</f>
        <v>#REF!</v>
      </c>
      <c r="I65" s="10"/>
      <c r="J65" s="46" t="e">
        <f>SUM(COUNTIFS(tbl_cleaning[Housing Team],"ATB19",#REF!,{"1","2","3","4"}))</f>
        <v>#REF!</v>
      </c>
      <c r="K65" s="10"/>
      <c r="L65" s="16" t="e">
        <f>J65/H65</f>
        <v>#REF!</v>
      </c>
      <c r="M65" s="10"/>
      <c r="N65" s="16">
        <f>$F$1</f>
        <v>1</v>
      </c>
      <c r="O65" s="8"/>
      <c r="P65" s="46" t="e">
        <f>COUNTIFS(tbl_cleaning[Housing Team],"ATB19",#REF!,3)+COUNTIFS(tbl_cleaning[Housing Team],"ATB19",#REF!,4)</f>
        <v>#REF!</v>
      </c>
      <c r="Q65" s="10"/>
      <c r="R65" s="16">
        <f t="shared" si="26"/>
        <v>0</v>
      </c>
      <c r="S65" s="10"/>
      <c r="T65" s="40">
        <f t="shared" si="27"/>
        <v>0.9</v>
      </c>
    </row>
    <row r="66" spans="1:21" ht="15.75" customHeight="1" x14ac:dyDescent="0.25">
      <c r="A66" s="510"/>
      <c r="B66" s="507" t="s">
        <v>12</v>
      </c>
      <c r="C66" s="508"/>
      <c r="D66" s="508"/>
      <c r="E66" s="508"/>
      <c r="F66" s="509"/>
      <c r="H66" s="46" t="e">
        <f>COUNTIFS(#REF!,"ATB19",#REF!,"&lt;&gt;NV")</f>
        <v>#REF!</v>
      </c>
      <c r="I66" s="10"/>
      <c r="J66" s="46" t="e">
        <f t="array" ref="J66">SUM(COUNTIFS(#REF!,"ATB19",#REF!,{"1","2","3","4"}))</f>
        <v>#REF!</v>
      </c>
      <c r="K66" s="10"/>
      <c r="L66" s="16" t="e">
        <f>J66/H66</f>
        <v>#REF!</v>
      </c>
      <c r="M66" s="10"/>
      <c r="N66" s="16">
        <f>$F$1</f>
        <v>1</v>
      </c>
      <c r="O66" s="8"/>
      <c r="P66" s="46" t="e">
        <f>COUNTIFS(#REF!,"ATB19",#REF!,3)+COUNTIFS(#REF!,"ATB19",#REF!,4)</f>
        <v>#REF!</v>
      </c>
      <c r="Q66" s="10"/>
      <c r="R66" s="16">
        <f t="shared" si="26"/>
        <v>0</v>
      </c>
      <c r="S66" s="10"/>
      <c r="T66" s="40">
        <f t="shared" si="27"/>
        <v>0.9</v>
      </c>
    </row>
    <row r="67" spans="1:21" ht="15.75" customHeight="1" x14ac:dyDescent="0.25">
      <c r="A67" s="510"/>
      <c r="B67" s="507" t="s">
        <v>13</v>
      </c>
      <c r="C67" s="508"/>
      <c r="D67" s="508"/>
      <c r="E67" s="508"/>
      <c r="F67" s="509"/>
      <c r="H67" s="46" t="e">
        <f>H64+H65+H66</f>
        <v>#REF!</v>
      </c>
      <c r="I67" s="10"/>
      <c r="J67" s="46" t="e">
        <f>SUM(J64:J66)</f>
        <v>#REF!</v>
      </c>
      <c r="K67" s="10"/>
      <c r="L67" s="16" t="e">
        <f>J67/H67</f>
        <v>#REF!</v>
      </c>
      <c r="M67" s="10"/>
      <c r="N67" s="16">
        <f>$F$1</f>
        <v>1</v>
      </c>
      <c r="O67" s="8"/>
      <c r="P67" s="46" t="e">
        <f>SUM(P64:P66)</f>
        <v>#REF!</v>
      </c>
      <c r="Q67" s="10"/>
      <c r="R67" s="16">
        <f t="shared" si="26"/>
        <v>0</v>
      </c>
      <c r="S67" s="10"/>
      <c r="T67" s="40">
        <f t="shared" si="27"/>
        <v>0.9</v>
      </c>
    </row>
    <row r="68" spans="1:21" ht="15.75" customHeight="1" x14ac:dyDescent="0.25">
      <c r="H68"/>
      <c r="J68"/>
      <c r="P68"/>
    </row>
    <row r="69" spans="1:21" ht="15.75" customHeight="1" x14ac:dyDescent="0.25">
      <c r="A69" s="510" t="s">
        <v>26</v>
      </c>
      <c r="B69" s="507" t="s">
        <v>10</v>
      </c>
      <c r="C69" s="508"/>
      <c r="D69" s="508"/>
      <c r="E69" s="508"/>
      <c r="F69" s="509"/>
      <c r="H69" s="46" t="e">
        <f>COUNTIFS(tbl_cleaning[Housing Team],"East Team 1",#REF!,"&lt;&gt;NV")</f>
        <v>#REF!</v>
      </c>
      <c r="I69" s="10"/>
      <c r="J69" s="46" t="e">
        <f>SUM(COUNTIFS(tbl_cleaning[Housing Team],"East Team 1",#REF!,{"1","2","3","4"}))</f>
        <v>#REF!</v>
      </c>
      <c r="K69" s="10"/>
      <c r="L69" s="16" t="e">
        <f>J69/H69</f>
        <v>#REF!</v>
      </c>
      <c r="M69" s="10"/>
      <c r="N69" s="16">
        <f>$F$1</f>
        <v>1</v>
      </c>
      <c r="O69" s="8"/>
      <c r="P69" s="46" t="e">
        <f>COUNTIFS(tbl_cleaning[Housing Team],"East Team 1",#REF!,3)+COUNTIFS(tbl_cleaning[Housing Team],"East Team 1",#REF!,4)</f>
        <v>#REF!</v>
      </c>
      <c r="Q69" s="10"/>
      <c r="R69" s="16">
        <f t="shared" ref="R69:R72" si="28">IFERROR(P69/J69,0)</f>
        <v>0</v>
      </c>
      <c r="S69" s="10"/>
      <c r="T69" s="40">
        <f t="shared" ref="T69:T72" si="29">$Q$1</f>
        <v>0.9</v>
      </c>
      <c r="U69" s="8"/>
    </row>
    <row r="70" spans="1:21" ht="15.75" customHeight="1" x14ac:dyDescent="0.25">
      <c r="A70" s="510"/>
      <c r="B70" s="507" t="s">
        <v>11</v>
      </c>
      <c r="C70" s="508"/>
      <c r="D70" s="508"/>
      <c r="E70" s="508"/>
      <c r="F70" s="509"/>
      <c r="H70" s="46" t="e">
        <f>COUNTIFS(tbl_cleaning[Housing Team],"East Team 1",#REF!,"&lt;&gt;NV")</f>
        <v>#REF!</v>
      </c>
      <c r="I70" s="10"/>
      <c r="J70" s="46" t="e">
        <f>SUM(COUNTIFS(tbl_cleaning[Housing Team],"East Team 1",#REF!,{"1","2","3","4"}))</f>
        <v>#REF!</v>
      </c>
      <c r="K70" s="10"/>
      <c r="L70" s="16" t="e">
        <f>J70/H70</f>
        <v>#REF!</v>
      </c>
      <c r="M70" s="10"/>
      <c r="N70" s="16">
        <f>$F$1</f>
        <v>1</v>
      </c>
      <c r="O70" s="8"/>
      <c r="P70" s="46" t="e">
        <f>COUNTIFS(tbl_cleaning[Housing Team],"East Team 1",#REF!,3)+COUNTIFS(tbl_cleaning[Housing Team],"East Team 1",#REF!,4)</f>
        <v>#REF!</v>
      </c>
      <c r="Q70" s="10"/>
      <c r="R70" s="16">
        <f t="shared" si="28"/>
        <v>0</v>
      </c>
      <c r="S70" s="10"/>
      <c r="T70" s="40">
        <f t="shared" si="29"/>
        <v>0.9</v>
      </c>
      <c r="U70" s="8"/>
    </row>
    <row r="71" spans="1:21" ht="15.75" customHeight="1" x14ac:dyDescent="0.25">
      <c r="A71" s="510"/>
      <c r="B71" s="507" t="s">
        <v>12</v>
      </c>
      <c r="C71" s="508"/>
      <c r="D71" s="508"/>
      <c r="E71" s="508"/>
      <c r="F71" s="509"/>
      <c r="H71" s="46" t="e">
        <f>COUNTIFS(#REF!,"East Team 1",#REF!,"&lt;&gt;NV")</f>
        <v>#REF!</v>
      </c>
      <c r="I71" s="10"/>
      <c r="J71" s="46" t="e">
        <f t="array" ref="J71">SUM(COUNTIFS(#REF!,"East Team 1",#REF!,{"1","2","3","4"}))</f>
        <v>#REF!</v>
      </c>
      <c r="K71" s="10"/>
      <c r="L71" s="16" t="e">
        <f>J71/H71</f>
        <v>#REF!</v>
      </c>
      <c r="M71" s="10"/>
      <c r="N71" s="16">
        <f>$F$1</f>
        <v>1</v>
      </c>
      <c r="O71" s="8"/>
      <c r="P71" s="46" t="e">
        <f>COUNTIFS(#REF!,"East Team 1",#REF!,3)+COUNTIFS(#REF!,"East Team 1",#REF!,4)</f>
        <v>#REF!</v>
      </c>
      <c r="Q71" s="10"/>
      <c r="R71" s="16">
        <f t="shared" si="28"/>
        <v>0</v>
      </c>
      <c r="S71" s="10"/>
      <c r="T71" s="40">
        <f t="shared" si="29"/>
        <v>0.9</v>
      </c>
      <c r="U71" s="8"/>
    </row>
    <row r="72" spans="1:21" ht="15.75" customHeight="1" x14ac:dyDescent="0.25">
      <c r="A72" s="511"/>
      <c r="B72" s="504" t="s">
        <v>13</v>
      </c>
      <c r="C72" s="504"/>
      <c r="D72" s="504"/>
      <c r="E72" s="504"/>
      <c r="F72" s="504"/>
      <c r="H72" s="46" t="e">
        <f>H69+H70+H71</f>
        <v>#REF!</v>
      </c>
      <c r="I72" s="10"/>
      <c r="J72" s="46" t="e">
        <f>SUM(J69:J71)</f>
        <v>#REF!</v>
      </c>
      <c r="K72" s="10"/>
      <c r="L72" s="16" t="e">
        <f>J72/H72</f>
        <v>#REF!</v>
      </c>
      <c r="M72" s="10"/>
      <c r="N72" s="16">
        <f>$F$1</f>
        <v>1</v>
      </c>
      <c r="O72" s="8"/>
      <c r="P72" s="46" t="e">
        <f>SUM(P69:P71)</f>
        <v>#REF!</v>
      </c>
      <c r="Q72" s="10"/>
      <c r="R72" s="16">
        <f t="shared" si="28"/>
        <v>0</v>
      </c>
      <c r="S72" s="10"/>
      <c r="T72" s="40">
        <f t="shared" si="29"/>
        <v>0.9</v>
      </c>
      <c r="U72" s="8"/>
    </row>
    <row r="73" spans="1:21" ht="15.75" customHeight="1" x14ac:dyDescent="0.25">
      <c r="H73"/>
      <c r="J73"/>
      <c r="P73"/>
    </row>
    <row r="74" spans="1:21" ht="15.75" customHeight="1" x14ac:dyDescent="0.25">
      <c r="A74" s="510" t="s">
        <v>27</v>
      </c>
      <c r="B74" s="504" t="s">
        <v>10</v>
      </c>
      <c r="C74" s="504"/>
      <c r="D74" s="504"/>
      <c r="E74" s="504"/>
      <c r="F74" s="504"/>
      <c r="H74" s="46" t="e">
        <f>COUNTIFS(tbl_cleaning[Housing Team],"East Team 2",#REF!,"&lt;&gt;NV")</f>
        <v>#REF!</v>
      </c>
      <c r="I74" s="10"/>
      <c r="J74" s="46" t="e">
        <f>SUM(COUNTIFS(tbl_cleaning[Housing Team],"East Team 2",#REF!,{"1","2","3","4"}))</f>
        <v>#REF!</v>
      </c>
      <c r="K74" s="10"/>
      <c r="L74" s="16" t="e">
        <f>J74/H74</f>
        <v>#REF!</v>
      </c>
      <c r="M74" s="10"/>
      <c r="N74" s="16">
        <f>$F$1</f>
        <v>1</v>
      </c>
      <c r="O74" s="8"/>
      <c r="P74" s="46" t="e">
        <f>COUNTIFS(tbl_cleaning[Housing Team],"East Team 2",#REF!,3)+COUNTIFS(tbl_cleaning[Housing Team],"East Team 2",#REF!,4)</f>
        <v>#REF!</v>
      </c>
      <c r="Q74" s="10"/>
      <c r="R74" s="16">
        <f t="shared" ref="R74:R77" si="30">IFERROR(P74/J74,0)</f>
        <v>0</v>
      </c>
      <c r="S74" s="10"/>
      <c r="T74" s="40">
        <f t="shared" ref="T74:T77" si="31">$Q$1</f>
        <v>0.9</v>
      </c>
      <c r="U74" s="8"/>
    </row>
    <row r="75" spans="1:21" ht="15.75" customHeight="1" x14ac:dyDescent="0.25">
      <c r="A75" s="512"/>
      <c r="B75" s="504" t="s">
        <v>11</v>
      </c>
      <c r="C75" s="504"/>
      <c r="D75" s="504"/>
      <c r="E75" s="504"/>
      <c r="F75" s="504"/>
      <c r="H75" s="46" t="e">
        <f>COUNTIFS(tbl_cleaning[Housing Team],"East Team 2",#REF!,"&lt;&gt;NV")</f>
        <v>#REF!</v>
      </c>
      <c r="I75" s="10"/>
      <c r="J75" s="46" t="e">
        <f>SUM(COUNTIFS(tbl_cleaning[Housing Team],"East Team 2",#REF!,{"1","2","3","4"}))</f>
        <v>#REF!</v>
      </c>
      <c r="K75" s="10"/>
      <c r="L75" s="16" t="e">
        <f>J75/H75</f>
        <v>#REF!</v>
      </c>
      <c r="M75" s="10"/>
      <c r="N75" s="16">
        <f>$F$1</f>
        <v>1</v>
      </c>
      <c r="O75" s="8"/>
      <c r="P75" s="46" t="e">
        <f>COUNTIFS(tbl_cleaning[Housing Team],"East Team 2",#REF!,3)+COUNTIFS(tbl_cleaning[Housing Team],"East Team 2",#REF!,4)</f>
        <v>#REF!</v>
      </c>
      <c r="Q75" s="10"/>
      <c r="R75" s="16">
        <f t="shared" si="30"/>
        <v>0</v>
      </c>
      <c r="S75" s="10"/>
      <c r="T75" s="40">
        <f t="shared" si="31"/>
        <v>0.9</v>
      </c>
      <c r="U75" s="8"/>
    </row>
    <row r="76" spans="1:21" ht="15.75" customHeight="1" x14ac:dyDescent="0.25">
      <c r="A76" s="512"/>
      <c r="B76" s="504" t="s">
        <v>12</v>
      </c>
      <c r="C76" s="504"/>
      <c r="D76" s="504"/>
      <c r="E76" s="504"/>
      <c r="F76" s="504"/>
      <c r="H76" s="46" t="e">
        <f>COUNTIFS(#REF!,"East Team 2",#REF!,"&lt;&gt;NV")</f>
        <v>#REF!</v>
      </c>
      <c r="I76" s="10"/>
      <c r="J76" s="46" t="e">
        <f t="array" ref="J76">SUM(COUNTIFS(#REF!,"East Team 2",#REF!,{"1","2","3","4"}))</f>
        <v>#REF!</v>
      </c>
      <c r="K76" s="10"/>
      <c r="L76" s="16" t="e">
        <f>J76/H76</f>
        <v>#REF!</v>
      </c>
      <c r="M76" s="10"/>
      <c r="N76" s="16">
        <f>$F$1</f>
        <v>1</v>
      </c>
      <c r="O76" s="8"/>
      <c r="P76" s="46" t="e">
        <f>COUNTIFS(#REF!,"East Team 2",#REF!,3)+COUNTIFS(#REF!,"East Team 2",#REF!,4)</f>
        <v>#REF!</v>
      </c>
      <c r="Q76" s="10"/>
      <c r="R76" s="16">
        <f t="shared" si="30"/>
        <v>0</v>
      </c>
      <c r="S76" s="10"/>
      <c r="T76" s="40">
        <f t="shared" si="31"/>
        <v>0.9</v>
      </c>
      <c r="U76" s="8"/>
    </row>
    <row r="77" spans="1:21" ht="15.75" customHeight="1" x14ac:dyDescent="0.25">
      <c r="A77" s="513"/>
      <c r="B77" s="504" t="s">
        <v>13</v>
      </c>
      <c r="C77" s="504"/>
      <c r="D77" s="504"/>
      <c r="E77" s="504"/>
      <c r="F77" s="504"/>
      <c r="H77" s="46" t="e">
        <f>H74+H75+H76</f>
        <v>#REF!</v>
      </c>
      <c r="I77" s="10"/>
      <c r="J77" s="46" t="e">
        <f>SUM(J74:J76)</f>
        <v>#REF!</v>
      </c>
      <c r="K77" s="10"/>
      <c r="L77" s="16" t="e">
        <f>J77/H77</f>
        <v>#REF!</v>
      </c>
      <c r="M77" s="10"/>
      <c r="N77" s="16">
        <f>$F$1</f>
        <v>1</v>
      </c>
      <c r="O77" s="8"/>
      <c r="P77" s="46" t="e">
        <f>SUM(P74:P76)</f>
        <v>#REF!</v>
      </c>
      <c r="Q77" s="10"/>
      <c r="R77" s="16">
        <f t="shared" si="30"/>
        <v>0</v>
      </c>
      <c r="S77" s="10"/>
      <c r="T77" s="40">
        <f t="shared" si="31"/>
        <v>0.9</v>
      </c>
      <c r="U77" s="8"/>
    </row>
    <row r="78" spans="1:21" ht="15.75" customHeight="1" x14ac:dyDescent="0.25">
      <c r="H78"/>
      <c r="J78"/>
      <c r="P78"/>
    </row>
    <row r="79" spans="1:21" ht="15.75" customHeight="1" x14ac:dyDescent="0.25">
      <c r="A79" s="510" t="s">
        <v>28</v>
      </c>
      <c r="B79" s="504" t="s">
        <v>10</v>
      </c>
      <c r="C79" s="504"/>
      <c r="D79" s="504"/>
      <c r="E79" s="504"/>
      <c r="F79" s="504"/>
      <c r="H79" s="46" t="e">
        <f>COUNTIFS(tbl_cleaning[Housing Team],"East Team 3",#REF!,"&lt;&gt;NV")</f>
        <v>#REF!</v>
      </c>
      <c r="I79" s="10"/>
      <c r="J79" s="46" t="e">
        <f>SUM(COUNTIFS(tbl_cleaning[Housing Team],"East Team 3",#REF!,{"1","2","3","4"}))</f>
        <v>#REF!</v>
      </c>
      <c r="K79" s="10"/>
      <c r="L79" s="16" t="e">
        <f>J79/H79</f>
        <v>#REF!</v>
      </c>
      <c r="M79" s="10"/>
      <c r="N79" s="16">
        <f>$F$1</f>
        <v>1</v>
      </c>
      <c r="O79" s="8"/>
      <c r="P79" s="46" t="e">
        <f>COUNTIFS(tbl_cleaning[Housing Team],"East Team 3",#REF!,3)+COUNTIFS(tbl_cleaning[Housing Team],"East Team 3",#REF!,4)</f>
        <v>#REF!</v>
      </c>
      <c r="Q79" s="10"/>
      <c r="R79" s="16">
        <f t="shared" ref="R79:R82" si="32">IFERROR(P79/J79,0)</f>
        <v>0</v>
      </c>
      <c r="S79" s="10"/>
      <c r="T79" s="40">
        <f t="shared" ref="T79:T82" si="33">$Q$1</f>
        <v>0.9</v>
      </c>
      <c r="U79" s="8"/>
    </row>
    <row r="80" spans="1:21" ht="15.75" customHeight="1" x14ac:dyDescent="0.25">
      <c r="A80" s="512"/>
      <c r="B80" s="504" t="s">
        <v>11</v>
      </c>
      <c r="C80" s="504"/>
      <c r="D80" s="504"/>
      <c r="E80" s="504"/>
      <c r="F80" s="504"/>
      <c r="H80" s="46" t="e">
        <f>COUNTIFS(tbl_cleaning[Housing Team],"East Team 3",#REF!,"&lt;&gt;NV")</f>
        <v>#REF!</v>
      </c>
      <c r="I80" s="10"/>
      <c r="J80" s="46" t="e">
        <f>SUM(COUNTIFS(tbl_cleaning[Housing Team],"East Team 3",#REF!,{"1","2","3","4"}))</f>
        <v>#REF!</v>
      </c>
      <c r="K80" s="10"/>
      <c r="L80" s="16" t="e">
        <f>J80/H80</f>
        <v>#REF!</v>
      </c>
      <c r="M80" s="10"/>
      <c r="N80" s="16">
        <f>$F$1</f>
        <v>1</v>
      </c>
      <c r="O80" s="8"/>
      <c r="P80" s="46" t="e">
        <f>COUNTIFS(tbl_cleaning[Housing Team],"East Team 3",#REF!,3)+COUNTIFS(tbl_cleaning[Housing Team],"East Team 3",#REF!,4)</f>
        <v>#REF!</v>
      </c>
      <c r="Q80" s="10"/>
      <c r="R80" s="16">
        <f t="shared" si="32"/>
        <v>0</v>
      </c>
      <c r="S80" s="10"/>
      <c r="T80" s="40">
        <f t="shared" si="33"/>
        <v>0.9</v>
      </c>
      <c r="U80" s="8"/>
    </row>
    <row r="81" spans="1:21" ht="15.75" customHeight="1" x14ac:dyDescent="0.25">
      <c r="A81" s="512"/>
      <c r="B81" s="504" t="s">
        <v>12</v>
      </c>
      <c r="C81" s="504"/>
      <c r="D81" s="504"/>
      <c r="E81" s="504"/>
      <c r="F81" s="504"/>
      <c r="H81" s="46" t="e">
        <f>COUNTIFS(#REF!,"East Team 3",#REF!,"&lt;&gt;NV")</f>
        <v>#REF!</v>
      </c>
      <c r="I81" s="10"/>
      <c r="J81" s="46" t="e">
        <f t="array" ref="J81">SUM(COUNTIFS(#REF!,"East Team 3",#REF!,{"1","2","3","4"}))</f>
        <v>#REF!</v>
      </c>
      <c r="K81" s="10"/>
      <c r="L81" s="16" t="e">
        <f>J81/H81</f>
        <v>#REF!</v>
      </c>
      <c r="M81" s="10"/>
      <c r="N81" s="16">
        <f>$F$1</f>
        <v>1</v>
      </c>
      <c r="O81" s="8"/>
      <c r="P81" s="46" t="e">
        <f>COUNTIFS(#REF!,"East Team 3",#REF!,3)+COUNTIFS(#REF!,"East Team 3",#REF!,4)</f>
        <v>#REF!</v>
      </c>
      <c r="Q81" s="10"/>
      <c r="R81" s="16">
        <f t="shared" si="32"/>
        <v>0</v>
      </c>
      <c r="S81" s="10"/>
      <c r="T81" s="40">
        <f t="shared" si="33"/>
        <v>0.9</v>
      </c>
      <c r="U81" s="8"/>
    </row>
    <row r="82" spans="1:21" ht="15.75" customHeight="1" x14ac:dyDescent="0.25">
      <c r="A82" s="513"/>
      <c r="B82" s="504" t="s">
        <v>13</v>
      </c>
      <c r="C82" s="504"/>
      <c r="D82" s="504"/>
      <c r="E82" s="504"/>
      <c r="F82" s="504"/>
      <c r="H82" s="46" t="e">
        <f>H79+H80+H81</f>
        <v>#REF!</v>
      </c>
      <c r="I82" s="10"/>
      <c r="J82" s="46" t="e">
        <f>SUM(J79:J81)</f>
        <v>#REF!</v>
      </c>
      <c r="K82" s="10"/>
      <c r="L82" s="16" t="e">
        <f>J82/H82</f>
        <v>#REF!</v>
      </c>
      <c r="M82" s="10"/>
      <c r="N82" s="16">
        <f>$F$1</f>
        <v>1</v>
      </c>
      <c r="O82" s="8"/>
      <c r="P82" s="46" t="e">
        <f>SUM(P79:P81)</f>
        <v>#REF!</v>
      </c>
      <c r="Q82" s="10"/>
      <c r="R82" s="16">
        <f t="shared" si="32"/>
        <v>0</v>
      </c>
      <c r="S82" s="10"/>
      <c r="T82" s="40">
        <f t="shared" si="33"/>
        <v>0.9</v>
      </c>
      <c r="U82" s="8"/>
    </row>
    <row r="83" spans="1:21" ht="15.75" customHeight="1" x14ac:dyDescent="0.25">
      <c r="H83"/>
      <c r="J83"/>
      <c r="P83"/>
    </row>
    <row r="84" spans="1:21" ht="15.75" customHeight="1" x14ac:dyDescent="0.25">
      <c r="A84" s="510" t="s">
        <v>29</v>
      </c>
      <c r="B84" s="504" t="s">
        <v>10</v>
      </c>
      <c r="C84" s="504"/>
      <c r="D84" s="504"/>
      <c r="E84" s="504"/>
      <c r="F84" s="504"/>
      <c r="H84" s="46" t="e">
        <f>COUNTIFS(tbl_cleaning[Housing Team],"East Team 4",#REF!,"&lt;&gt;NV")</f>
        <v>#REF!</v>
      </c>
      <c r="I84" s="10"/>
      <c r="J84" s="46" t="e">
        <f>SUM(COUNTIFS(tbl_cleaning[Housing Team],"East Team 4",#REF!,{"1","2","3","4"}))</f>
        <v>#REF!</v>
      </c>
      <c r="K84" s="10"/>
      <c r="L84" s="16" t="e">
        <f>J84/H84</f>
        <v>#REF!</v>
      </c>
      <c r="M84" s="10"/>
      <c r="N84" s="16">
        <f>$F$1</f>
        <v>1</v>
      </c>
      <c r="O84" s="8"/>
      <c r="P84" s="46" t="e">
        <f>COUNTIFS(tbl_cleaning[Housing Team],"East Team 4",#REF!,3)+COUNTIFS(tbl_cleaning[Housing Team],"East Team 4",#REF!,4)</f>
        <v>#REF!</v>
      </c>
      <c r="Q84" s="10"/>
      <c r="R84" s="16">
        <f t="shared" ref="R84:R87" si="34">IFERROR(P84/J84,0)</f>
        <v>0</v>
      </c>
      <c r="S84" s="10"/>
      <c r="T84" s="40">
        <f t="shared" ref="T84:T87" si="35">$Q$1</f>
        <v>0.9</v>
      </c>
      <c r="U84" s="8"/>
    </row>
    <row r="85" spans="1:21" ht="15.75" customHeight="1" x14ac:dyDescent="0.25">
      <c r="A85" s="512"/>
      <c r="B85" s="504" t="s">
        <v>11</v>
      </c>
      <c r="C85" s="504"/>
      <c r="D85" s="504"/>
      <c r="E85" s="504"/>
      <c r="F85" s="504"/>
      <c r="H85" s="46" t="e">
        <f>COUNTIFS(tbl_cleaning[Housing Team],"East Team 4",#REF!,"&lt;&gt;NV")</f>
        <v>#REF!</v>
      </c>
      <c r="I85" s="10"/>
      <c r="J85" s="46" t="e">
        <f>SUM(COUNTIFS(tbl_cleaning[Housing Team],"East Team 4",#REF!,{"1","2","3","4"}))</f>
        <v>#REF!</v>
      </c>
      <c r="K85" s="10"/>
      <c r="L85" s="16" t="e">
        <f>J85/H85</f>
        <v>#REF!</v>
      </c>
      <c r="M85" s="10"/>
      <c r="N85" s="16">
        <f>$F$1</f>
        <v>1</v>
      </c>
      <c r="O85" s="8"/>
      <c r="P85" s="46" t="e">
        <f>COUNTIFS(tbl_cleaning[Housing Team],"East Team 4",#REF!,3)+COUNTIFS(tbl_cleaning[Housing Team],"East Team 4",#REF!,4)</f>
        <v>#REF!</v>
      </c>
      <c r="Q85" s="10"/>
      <c r="R85" s="16">
        <f t="shared" si="34"/>
        <v>0</v>
      </c>
      <c r="S85" s="10"/>
      <c r="T85" s="40">
        <f t="shared" si="35"/>
        <v>0.9</v>
      </c>
      <c r="U85" s="8"/>
    </row>
    <row r="86" spans="1:21" ht="15.75" customHeight="1" x14ac:dyDescent="0.25">
      <c r="A86" s="512"/>
      <c r="B86" s="504" t="s">
        <v>12</v>
      </c>
      <c r="C86" s="504"/>
      <c r="D86" s="504"/>
      <c r="E86" s="504"/>
      <c r="F86" s="504"/>
      <c r="H86" s="46" t="e">
        <f>COUNTIFS(#REF!,"East Team 4",#REF!,"&lt;&gt;NV")</f>
        <v>#REF!</v>
      </c>
      <c r="I86" s="10"/>
      <c r="J86" s="46" t="e">
        <f t="array" ref="J86">SUM(COUNTIFS(#REF!,"East Team 4",#REF!,{"1","2","3","4"}))</f>
        <v>#REF!</v>
      </c>
      <c r="K86" s="10"/>
      <c r="L86" s="16" t="e">
        <f>J86/H86</f>
        <v>#REF!</v>
      </c>
      <c r="M86" s="10"/>
      <c r="N86" s="16">
        <f>$F$1</f>
        <v>1</v>
      </c>
      <c r="O86" s="8"/>
      <c r="P86" s="46" t="e">
        <f>COUNTIFS(#REF!,"East Team 4",#REF!,3)+COUNTIFS(#REF!,"East Team 4",#REF!,4)</f>
        <v>#REF!</v>
      </c>
      <c r="Q86" s="10"/>
      <c r="R86" s="16">
        <f t="shared" si="34"/>
        <v>0</v>
      </c>
      <c r="S86" s="10"/>
      <c r="T86" s="40">
        <f t="shared" si="35"/>
        <v>0.9</v>
      </c>
      <c r="U86" s="8"/>
    </row>
    <row r="87" spans="1:21" ht="15.75" customHeight="1" x14ac:dyDescent="0.25">
      <c r="A87" s="513"/>
      <c r="B87" s="504" t="s">
        <v>13</v>
      </c>
      <c r="C87" s="504"/>
      <c r="D87" s="504"/>
      <c r="E87" s="504"/>
      <c r="F87" s="504"/>
      <c r="H87" s="46" t="e">
        <f>H84+H85+H86</f>
        <v>#REF!</v>
      </c>
      <c r="I87" s="10"/>
      <c r="J87" s="46" t="e">
        <f>SUM(J84:J86)</f>
        <v>#REF!</v>
      </c>
      <c r="K87" s="10"/>
      <c r="L87" s="16" t="e">
        <f>J87/H87</f>
        <v>#REF!</v>
      </c>
      <c r="M87" s="10"/>
      <c r="N87" s="16">
        <f>$F$1</f>
        <v>1</v>
      </c>
      <c r="O87" s="8"/>
      <c r="P87" s="46" t="e">
        <f>SUM(P84:P86)</f>
        <v>#REF!</v>
      </c>
      <c r="Q87" s="10"/>
      <c r="R87" s="16">
        <f t="shared" si="34"/>
        <v>0</v>
      </c>
      <c r="S87" s="10"/>
      <c r="T87" s="40">
        <f t="shared" si="35"/>
        <v>0.9</v>
      </c>
      <c r="U87" s="8"/>
    </row>
    <row r="88" spans="1:21" ht="15.75" customHeight="1" x14ac:dyDescent="0.25">
      <c r="H88"/>
      <c r="J88"/>
      <c r="P88"/>
    </row>
    <row r="89" spans="1:21" ht="15.75" customHeight="1" x14ac:dyDescent="0.25">
      <c r="A89" s="514" t="s">
        <v>30</v>
      </c>
      <c r="B89" s="504" t="s">
        <v>10</v>
      </c>
      <c r="C89" s="504"/>
      <c r="D89" s="504"/>
      <c r="E89" s="504"/>
      <c r="F89" s="504"/>
      <c r="H89" s="46" t="e">
        <f>COUNTIFS(tbl_cleaning[Housing Team],"North Team 1",#REF!,"&lt;&gt;NV")</f>
        <v>#REF!</v>
      </c>
      <c r="I89" s="10"/>
      <c r="J89" s="46" t="e">
        <f>SUM(COUNTIFS(tbl_cleaning[Housing Team],"North Team 1",#REF!,{"1","2","3","4"}))</f>
        <v>#REF!</v>
      </c>
      <c r="K89" s="10"/>
      <c r="L89" s="16" t="e">
        <f>J89/H89</f>
        <v>#REF!</v>
      </c>
      <c r="M89" s="10"/>
      <c r="N89" s="16">
        <f>$F$1</f>
        <v>1</v>
      </c>
      <c r="O89" s="8"/>
      <c r="P89" s="46" t="e">
        <f>COUNTIFS(tbl_cleaning[Housing Team],"North Team 1",#REF!,3)+COUNTIFS(tbl_cleaning[Housing Team],"North Team 1",#REF!,4)</f>
        <v>#REF!</v>
      </c>
      <c r="Q89" s="10"/>
      <c r="R89" s="16">
        <f t="shared" ref="R89:R92" si="36">IFERROR(P89/J89,0)</f>
        <v>0</v>
      </c>
      <c r="S89" s="10"/>
      <c r="T89" s="40">
        <f t="shared" ref="T89:T92" si="37">$Q$1</f>
        <v>0.9</v>
      </c>
      <c r="U89" s="8"/>
    </row>
    <row r="90" spans="1:21" ht="15.75" customHeight="1" x14ac:dyDescent="0.25">
      <c r="A90" s="515"/>
      <c r="B90" s="504" t="s">
        <v>11</v>
      </c>
      <c r="C90" s="504"/>
      <c r="D90" s="504"/>
      <c r="E90" s="504"/>
      <c r="F90" s="504"/>
      <c r="H90" s="46" t="e">
        <f>COUNTIFS(tbl_cleaning[Housing Team],"North Team 1",#REF!,"&lt;&gt;NV")</f>
        <v>#REF!</v>
      </c>
      <c r="I90" s="10"/>
      <c r="J90" s="46" t="e">
        <f>SUM(COUNTIFS(tbl_cleaning[Housing Team],"North Team 1",#REF!,{"1","2","3","4"}))</f>
        <v>#REF!</v>
      </c>
      <c r="K90" s="10"/>
      <c r="L90" s="16" t="e">
        <f>J90/H90</f>
        <v>#REF!</v>
      </c>
      <c r="M90" s="10"/>
      <c r="N90" s="16">
        <f>$F$1</f>
        <v>1</v>
      </c>
      <c r="O90" s="8"/>
      <c r="P90" s="46" t="e">
        <f>COUNTIFS(tbl_cleaning[Housing Team],"North Team 1",#REF!,3)+COUNTIFS(tbl_cleaning[Housing Team],"North Team 1",#REF!,4)</f>
        <v>#REF!</v>
      </c>
      <c r="Q90" s="10"/>
      <c r="R90" s="16">
        <f t="shared" si="36"/>
        <v>0</v>
      </c>
      <c r="S90" s="10"/>
      <c r="T90" s="40">
        <f t="shared" si="37"/>
        <v>0.9</v>
      </c>
      <c r="U90" s="8"/>
    </row>
    <row r="91" spans="1:21" ht="15.75" customHeight="1" x14ac:dyDescent="0.25">
      <c r="A91" s="515"/>
      <c r="B91" s="504" t="s">
        <v>12</v>
      </c>
      <c r="C91" s="504"/>
      <c r="D91" s="504"/>
      <c r="E91" s="504"/>
      <c r="F91" s="504"/>
      <c r="H91" s="46" t="e">
        <f>COUNTIFS(#REF!,"North Team 1",#REF!,"&lt;&gt;NV")</f>
        <v>#REF!</v>
      </c>
      <c r="I91" s="10"/>
      <c r="J91" s="46" t="e">
        <f t="array" ref="J91">SUM(COUNTIFS(#REF!,"North Team 1",#REF!,{"1","2","3","4"}))</f>
        <v>#REF!</v>
      </c>
      <c r="K91" s="10"/>
      <c r="L91" s="16" t="e">
        <f>J91/H91</f>
        <v>#REF!</v>
      </c>
      <c r="M91" s="10"/>
      <c r="N91" s="16">
        <f>$F$1</f>
        <v>1</v>
      </c>
      <c r="O91" s="8"/>
      <c r="P91" s="46" t="e">
        <f>COUNTIFS(#REF!,"North Team 1",#REF!,3)+COUNTIFS(#REF!,"North Team 1",#REF!,4)</f>
        <v>#REF!</v>
      </c>
      <c r="Q91" s="10"/>
      <c r="R91" s="16">
        <f t="shared" si="36"/>
        <v>0</v>
      </c>
      <c r="S91" s="10"/>
      <c r="T91" s="40">
        <f t="shared" si="37"/>
        <v>0.9</v>
      </c>
      <c r="U91" s="8"/>
    </row>
    <row r="92" spans="1:21" ht="15.75" customHeight="1" x14ac:dyDescent="0.25">
      <c r="A92" s="516"/>
      <c r="B92" s="504" t="s">
        <v>13</v>
      </c>
      <c r="C92" s="504"/>
      <c r="D92" s="504"/>
      <c r="E92" s="504"/>
      <c r="F92" s="504"/>
      <c r="H92" s="46" t="e">
        <f>H89+H90+H91</f>
        <v>#REF!</v>
      </c>
      <c r="I92" s="10"/>
      <c r="J92" s="46" t="e">
        <f>SUM(J89:J91)</f>
        <v>#REF!</v>
      </c>
      <c r="K92" s="10"/>
      <c r="L92" s="16" t="e">
        <f>J92/H92</f>
        <v>#REF!</v>
      </c>
      <c r="M92" s="10"/>
      <c r="N92" s="16">
        <f>$F$1</f>
        <v>1</v>
      </c>
      <c r="O92" s="8"/>
      <c r="P92" s="46" t="e">
        <f>SUM(P89:P91)</f>
        <v>#REF!</v>
      </c>
      <c r="Q92" s="10"/>
      <c r="R92" s="16">
        <f t="shared" si="36"/>
        <v>0</v>
      </c>
      <c r="S92" s="10"/>
      <c r="T92" s="40">
        <f t="shared" si="37"/>
        <v>0.9</v>
      </c>
      <c r="U92" s="8"/>
    </row>
    <row r="93" spans="1:21" ht="15.75" customHeight="1" x14ac:dyDescent="0.25">
      <c r="H93"/>
      <c r="J93"/>
      <c r="P93"/>
    </row>
    <row r="94" spans="1:21" ht="15.75" customHeight="1" x14ac:dyDescent="0.25">
      <c r="A94" s="514" t="s">
        <v>31</v>
      </c>
      <c r="B94" s="504" t="s">
        <v>10</v>
      </c>
      <c r="C94" s="504"/>
      <c r="D94" s="504"/>
      <c r="E94" s="504"/>
      <c r="F94" s="504"/>
      <c r="H94" s="46" t="e">
        <f>COUNTIFS(tbl_cleaning[Housing Team],"North Team 2",#REF!,"&lt;&gt;NV")</f>
        <v>#REF!</v>
      </c>
      <c r="I94" s="10"/>
      <c r="J94" s="46" t="e">
        <f>SUM(COUNTIFS(tbl_cleaning[Housing Team],"North Team 2",#REF!,{"1","2","3","4"}))</f>
        <v>#REF!</v>
      </c>
      <c r="K94" s="10"/>
      <c r="L94" s="16" t="e">
        <f>J94/H94</f>
        <v>#REF!</v>
      </c>
      <c r="M94" s="10"/>
      <c r="N94" s="16">
        <f>$F$1</f>
        <v>1</v>
      </c>
      <c r="O94" s="8"/>
      <c r="P94" s="46" t="e">
        <f>COUNTIFS(tbl_cleaning[Housing Team],"North Team 2",#REF!,3)+COUNTIFS(tbl_cleaning[Housing Team],"North Team 2",#REF!,4)</f>
        <v>#REF!</v>
      </c>
      <c r="Q94" s="10"/>
      <c r="R94" s="16">
        <f t="shared" ref="R94:R97" si="38">IFERROR(P94/J94,0)</f>
        <v>0</v>
      </c>
      <c r="S94" s="10"/>
      <c r="T94" s="40">
        <f t="shared" ref="T94:T97" si="39">$Q$1</f>
        <v>0.9</v>
      </c>
      <c r="U94" s="8"/>
    </row>
    <row r="95" spans="1:21" ht="15.75" customHeight="1" x14ac:dyDescent="0.25">
      <c r="A95" s="515"/>
      <c r="B95" s="504" t="s">
        <v>11</v>
      </c>
      <c r="C95" s="504"/>
      <c r="D95" s="504"/>
      <c r="E95" s="504"/>
      <c r="F95" s="504"/>
      <c r="H95" s="46" t="e">
        <f>COUNTIFS(tbl_cleaning[Housing Team],"North Team 2",#REF!,"&lt;&gt;NV")</f>
        <v>#REF!</v>
      </c>
      <c r="I95" s="10"/>
      <c r="J95" s="46" t="e">
        <f>SUM(COUNTIFS(tbl_cleaning[Housing Team],"North Team 2",#REF!,{"1","2","3","4"}))</f>
        <v>#REF!</v>
      </c>
      <c r="K95" s="10"/>
      <c r="L95" s="16" t="e">
        <f>J95/H95</f>
        <v>#REF!</v>
      </c>
      <c r="M95" s="10"/>
      <c r="N95" s="16">
        <f>$F$1</f>
        <v>1</v>
      </c>
      <c r="O95" s="8"/>
      <c r="P95" s="46" t="e">
        <f>COUNTIFS(tbl_cleaning[Housing Team],"North Team 2",#REF!,3)+COUNTIFS(tbl_cleaning[Housing Team],"North Team 2",#REF!,4)</f>
        <v>#REF!</v>
      </c>
      <c r="Q95" s="10"/>
      <c r="R95" s="16">
        <f t="shared" si="38"/>
        <v>0</v>
      </c>
      <c r="S95" s="10"/>
      <c r="T95" s="40">
        <f t="shared" si="39"/>
        <v>0.9</v>
      </c>
      <c r="U95" s="8"/>
    </row>
    <row r="96" spans="1:21" ht="15.75" customHeight="1" x14ac:dyDescent="0.25">
      <c r="A96" s="515"/>
      <c r="B96" s="504" t="s">
        <v>12</v>
      </c>
      <c r="C96" s="504"/>
      <c r="D96" s="504"/>
      <c r="E96" s="504"/>
      <c r="F96" s="504"/>
      <c r="H96" s="46" t="e">
        <f>COUNTIFS(#REF!,"North Team 2",#REF!,"&lt;&gt;NV")</f>
        <v>#REF!</v>
      </c>
      <c r="I96" s="10"/>
      <c r="J96" s="46" t="e">
        <f t="array" ref="J96">SUM(COUNTIFS(#REF!,"North Team 2",#REF!,{"1","2","3","4"}))</f>
        <v>#REF!</v>
      </c>
      <c r="K96" s="10"/>
      <c r="L96" s="16" t="e">
        <f>J96/H96</f>
        <v>#REF!</v>
      </c>
      <c r="M96" s="10"/>
      <c r="N96" s="16">
        <f>$F$1</f>
        <v>1</v>
      </c>
      <c r="O96" s="8"/>
      <c r="P96" s="46" t="e">
        <f>COUNTIFS(#REF!,"North Team 2",#REF!,3)+COUNTIFS(#REF!,"North Team 2",#REF!,4)</f>
        <v>#REF!</v>
      </c>
      <c r="Q96" s="10"/>
      <c r="R96" s="16">
        <f t="shared" si="38"/>
        <v>0</v>
      </c>
      <c r="S96" s="10"/>
      <c r="T96" s="40">
        <f t="shared" si="39"/>
        <v>0.9</v>
      </c>
      <c r="U96" s="8"/>
    </row>
    <row r="97" spans="1:21" ht="15.75" customHeight="1" x14ac:dyDescent="0.25">
      <c r="A97" s="516"/>
      <c r="B97" s="504" t="s">
        <v>13</v>
      </c>
      <c r="C97" s="504"/>
      <c r="D97" s="504"/>
      <c r="E97" s="504"/>
      <c r="F97" s="504"/>
      <c r="H97" s="46" t="e">
        <f>H94+H95+H96</f>
        <v>#REF!</v>
      </c>
      <c r="I97" s="10"/>
      <c r="J97" s="46" t="e">
        <f>SUM(J94:J96)</f>
        <v>#REF!</v>
      </c>
      <c r="K97" s="10"/>
      <c r="L97" s="16" t="e">
        <f>J97/H97</f>
        <v>#REF!</v>
      </c>
      <c r="M97" s="10"/>
      <c r="N97" s="16">
        <f>$F$1</f>
        <v>1</v>
      </c>
      <c r="O97" s="8"/>
      <c r="P97" s="46" t="e">
        <f>SUM(P94:P96)</f>
        <v>#REF!</v>
      </c>
      <c r="Q97" s="10"/>
      <c r="R97" s="16">
        <f t="shared" si="38"/>
        <v>0</v>
      </c>
      <c r="S97" s="10"/>
      <c r="T97" s="40">
        <f t="shared" si="39"/>
        <v>0.9</v>
      </c>
      <c r="U97" s="8"/>
    </row>
    <row r="98" spans="1:21" ht="15.75" customHeight="1" x14ac:dyDescent="0.25">
      <c r="H98"/>
      <c r="J98"/>
      <c r="P98"/>
    </row>
    <row r="99" spans="1:21" ht="15.75" customHeight="1" x14ac:dyDescent="0.25">
      <c r="A99" s="514" t="s">
        <v>32</v>
      </c>
      <c r="B99" s="504" t="s">
        <v>10</v>
      </c>
      <c r="C99" s="504"/>
      <c r="D99" s="504"/>
      <c r="E99" s="504"/>
      <c r="F99" s="504"/>
      <c r="H99" s="46" t="e">
        <f>COUNTIFS(tbl_cleaning[Housing Team],"North Team 3",#REF!,"&lt;&gt;NV")</f>
        <v>#REF!</v>
      </c>
      <c r="I99" s="10"/>
      <c r="J99" s="46" t="e">
        <f>SUM(COUNTIFS(tbl_cleaning[Housing Team],"North Team 3",#REF!,{"1","2","3","4"}))</f>
        <v>#REF!</v>
      </c>
      <c r="K99" s="10"/>
      <c r="L99" s="16" t="e">
        <f>J99/H99</f>
        <v>#REF!</v>
      </c>
      <c r="M99" s="10"/>
      <c r="N99" s="16">
        <f>$F$1</f>
        <v>1</v>
      </c>
      <c r="O99" s="8"/>
      <c r="P99" s="46" t="e">
        <f>COUNTIFS(tbl_cleaning[Housing Team],"North Team 3",#REF!,3)+COUNTIFS(tbl_cleaning[Housing Team],"North Team 3",#REF!,4)</f>
        <v>#REF!</v>
      </c>
      <c r="Q99" s="10"/>
      <c r="R99" s="16">
        <f t="shared" ref="R99:R102" si="40">IFERROR(P99/J99,0)</f>
        <v>0</v>
      </c>
      <c r="S99" s="10"/>
      <c r="T99" s="40">
        <f t="shared" ref="T99:T102" si="41">$Q$1</f>
        <v>0.9</v>
      </c>
      <c r="U99" s="8"/>
    </row>
    <row r="100" spans="1:21" ht="15.75" customHeight="1" x14ac:dyDescent="0.25">
      <c r="A100" s="515"/>
      <c r="B100" s="504" t="s">
        <v>11</v>
      </c>
      <c r="C100" s="504"/>
      <c r="D100" s="504"/>
      <c r="E100" s="504"/>
      <c r="F100" s="504"/>
      <c r="H100" s="46" t="e">
        <f>COUNTIFS(tbl_cleaning[Housing Team],"North Team 3",#REF!,"&lt;&gt;NV")</f>
        <v>#REF!</v>
      </c>
      <c r="I100" s="10"/>
      <c r="J100" s="46" t="e">
        <f>SUM(COUNTIFS(tbl_cleaning[Housing Team],"North Team 3",#REF!,{"1","2","3","4"}))</f>
        <v>#REF!</v>
      </c>
      <c r="K100" s="10"/>
      <c r="L100" s="16" t="e">
        <f>J100/H100</f>
        <v>#REF!</v>
      </c>
      <c r="M100" s="10"/>
      <c r="N100" s="16">
        <f>$F$1</f>
        <v>1</v>
      </c>
      <c r="O100" s="8"/>
      <c r="P100" s="46" t="e">
        <f>COUNTIFS(tbl_cleaning[Housing Team],"North Team 3",#REF!,3)+COUNTIFS(tbl_cleaning[Housing Team],"North Team 3",#REF!,4)</f>
        <v>#REF!</v>
      </c>
      <c r="Q100" s="10"/>
      <c r="R100" s="16">
        <f t="shared" si="40"/>
        <v>0</v>
      </c>
      <c r="S100" s="10"/>
      <c r="T100" s="40">
        <f t="shared" si="41"/>
        <v>0.9</v>
      </c>
      <c r="U100" s="8"/>
    </row>
    <row r="101" spans="1:21" ht="15.75" customHeight="1" x14ac:dyDescent="0.25">
      <c r="A101" s="515"/>
      <c r="B101" s="504" t="s">
        <v>12</v>
      </c>
      <c r="C101" s="504"/>
      <c r="D101" s="504"/>
      <c r="E101" s="504"/>
      <c r="F101" s="504"/>
      <c r="H101" s="46" t="e">
        <f>COUNTIFS(#REF!,"North Team 3",#REF!,"&lt;&gt;NV")</f>
        <v>#REF!</v>
      </c>
      <c r="I101" s="10"/>
      <c r="J101" s="46" t="e">
        <f t="array" ref="J101">SUM(COUNTIFS(#REF!,"North Team 3",#REF!,{"1","2","3","4"}))</f>
        <v>#REF!</v>
      </c>
      <c r="K101" s="10"/>
      <c r="L101" s="16" t="e">
        <f>J101/H101</f>
        <v>#REF!</v>
      </c>
      <c r="M101" s="10"/>
      <c r="N101" s="16">
        <f>$F$1</f>
        <v>1</v>
      </c>
      <c r="O101" s="8"/>
      <c r="P101" s="46" t="e">
        <f>COUNTIFS(#REF!,"North Team 3",#REF!,3)+COUNTIFS(#REF!,"North Team 3",#REF!,4)</f>
        <v>#REF!</v>
      </c>
      <c r="Q101" s="10"/>
      <c r="R101" s="16">
        <f t="shared" si="40"/>
        <v>0</v>
      </c>
      <c r="S101" s="10"/>
      <c r="T101" s="40">
        <f t="shared" si="41"/>
        <v>0.9</v>
      </c>
      <c r="U101" s="8"/>
    </row>
    <row r="102" spans="1:21" ht="15.75" customHeight="1" x14ac:dyDescent="0.25">
      <c r="A102" s="516"/>
      <c r="B102" s="504" t="s">
        <v>13</v>
      </c>
      <c r="C102" s="504"/>
      <c r="D102" s="504"/>
      <c r="E102" s="504"/>
      <c r="F102" s="504"/>
      <c r="H102" s="46" t="e">
        <f>H99+H100+H101</f>
        <v>#REF!</v>
      </c>
      <c r="I102" s="10"/>
      <c r="J102" s="46" t="e">
        <f>SUM(J99:J101)</f>
        <v>#REF!</v>
      </c>
      <c r="K102" s="10"/>
      <c r="L102" s="16" t="e">
        <f>J102/H102</f>
        <v>#REF!</v>
      </c>
      <c r="M102" s="10"/>
      <c r="N102" s="16">
        <f>$F$1</f>
        <v>1</v>
      </c>
      <c r="O102" s="8"/>
      <c r="P102" s="46" t="e">
        <f>SUM(P99:P101)</f>
        <v>#REF!</v>
      </c>
      <c r="Q102" s="10"/>
      <c r="R102" s="16">
        <f t="shared" si="40"/>
        <v>0</v>
      </c>
      <c r="S102" s="10"/>
      <c r="T102" s="40">
        <f t="shared" si="41"/>
        <v>0.9</v>
      </c>
      <c r="U102" s="8"/>
    </row>
    <row r="103" spans="1:21" ht="15.75" customHeight="1" x14ac:dyDescent="0.25">
      <c r="H103"/>
      <c r="J103"/>
      <c r="P103"/>
    </row>
    <row r="104" spans="1:21" ht="15.75" customHeight="1" x14ac:dyDescent="0.25">
      <c r="A104" s="514" t="s">
        <v>33</v>
      </c>
      <c r="B104" s="504" t="s">
        <v>10</v>
      </c>
      <c r="C104" s="504"/>
      <c r="D104" s="504"/>
      <c r="E104" s="504"/>
      <c r="F104" s="504"/>
      <c r="H104" s="46" t="e">
        <f>COUNTIFS(tbl_cleaning[Housing Team],"North Team 4",#REF!,"&lt;&gt;NV")</f>
        <v>#REF!</v>
      </c>
      <c r="I104" s="10"/>
      <c r="J104" s="46" t="e">
        <f>SUM(COUNTIFS(tbl_cleaning[Housing Team],"North Team 4",#REF!,{"1","2","3","4"}))</f>
        <v>#REF!</v>
      </c>
      <c r="K104" s="10"/>
      <c r="L104" s="16" t="e">
        <f>J104/H104</f>
        <v>#REF!</v>
      </c>
      <c r="M104" s="10"/>
      <c r="N104" s="16">
        <f>$F$1</f>
        <v>1</v>
      </c>
      <c r="O104" s="8"/>
      <c r="P104" s="46" t="e">
        <f>COUNTIFS(tbl_cleaning[Housing Team],"North Team 4",#REF!,3)+COUNTIFS(tbl_cleaning[Housing Team],"North Team 4",#REF!,4)</f>
        <v>#REF!</v>
      </c>
      <c r="Q104" s="10"/>
      <c r="R104" s="16">
        <f t="shared" ref="R104:R107" si="42">IFERROR(P104/J104,0)</f>
        <v>0</v>
      </c>
      <c r="S104" s="10"/>
      <c r="T104" s="40">
        <f t="shared" ref="T104:T107" si="43">$Q$1</f>
        <v>0.9</v>
      </c>
      <c r="U104" s="8"/>
    </row>
    <row r="105" spans="1:21" ht="15.75" customHeight="1" x14ac:dyDescent="0.25">
      <c r="A105" s="515"/>
      <c r="B105" s="504" t="s">
        <v>11</v>
      </c>
      <c r="C105" s="504"/>
      <c r="D105" s="504"/>
      <c r="E105" s="504"/>
      <c r="F105" s="504"/>
      <c r="H105" s="46" t="e">
        <f>COUNTIFS(tbl_cleaning[Housing Team],"North Team 4",#REF!,"&lt;&gt;NV")</f>
        <v>#REF!</v>
      </c>
      <c r="I105" s="10"/>
      <c r="J105" s="46" t="e">
        <f>SUM(COUNTIFS(tbl_cleaning[Housing Team],"North Team 4",#REF!,{"1","2","3","4"}))</f>
        <v>#REF!</v>
      </c>
      <c r="K105" s="10"/>
      <c r="L105" s="16" t="e">
        <f>J105/H105</f>
        <v>#REF!</v>
      </c>
      <c r="M105" s="10"/>
      <c r="N105" s="16">
        <f>$F$1</f>
        <v>1</v>
      </c>
      <c r="O105" s="8"/>
      <c r="P105" s="46" t="e">
        <f>COUNTIFS(tbl_cleaning[Housing Team],"North Team 4",#REF!,3)+COUNTIFS(tbl_cleaning[Housing Team],"North Team 4",#REF!,4)</f>
        <v>#REF!</v>
      </c>
      <c r="Q105" s="10"/>
      <c r="R105" s="16">
        <f t="shared" si="42"/>
        <v>0</v>
      </c>
      <c r="S105" s="10"/>
      <c r="T105" s="40">
        <f t="shared" si="43"/>
        <v>0.9</v>
      </c>
      <c r="U105" s="8"/>
    </row>
    <row r="106" spans="1:21" ht="15.75" customHeight="1" x14ac:dyDescent="0.25">
      <c r="A106" s="515"/>
      <c r="B106" s="504" t="s">
        <v>12</v>
      </c>
      <c r="C106" s="504"/>
      <c r="D106" s="504"/>
      <c r="E106" s="504"/>
      <c r="F106" s="504"/>
      <c r="H106" s="46" t="e">
        <f>COUNTIFS(#REF!,"North Team 4",#REF!,"&lt;&gt;NV")</f>
        <v>#REF!</v>
      </c>
      <c r="I106" s="10"/>
      <c r="J106" s="46" t="e">
        <f t="array" ref="J106">SUM(COUNTIFS(#REF!,"North Team 4",#REF!,{"1","2","3","4"}))</f>
        <v>#REF!</v>
      </c>
      <c r="K106" s="10"/>
      <c r="L106" s="16" t="e">
        <f>J106/H106</f>
        <v>#REF!</v>
      </c>
      <c r="M106" s="10"/>
      <c r="N106" s="16">
        <f>$F$1</f>
        <v>1</v>
      </c>
      <c r="O106" s="8"/>
      <c r="P106" s="46" t="e">
        <f>COUNTIFS(#REF!,"North Team 4",#REF!,3)+COUNTIFS(#REF!,"North Team 4",#REF!,4)</f>
        <v>#REF!</v>
      </c>
      <c r="Q106" s="10"/>
      <c r="R106" s="16">
        <f t="shared" si="42"/>
        <v>0</v>
      </c>
      <c r="S106" s="10"/>
      <c r="T106" s="40">
        <f t="shared" si="43"/>
        <v>0.9</v>
      </c>
      <c r="U106" s="8"/>
    </row>
    <row r="107" spans="1:21" ht="15.75" customHeight="1" x14ac:dyDescent="0.25">
      <c r="A107" s="516"/>
      <c r="B107" s="504" t="s">
        <v>13</v>
      </c>
      <c r="C107" s="504"/>
      <c r="D107" s="504"/>
      <c r="E107" s="504"/>
      <c r="F107" s="504"/>
      <c r="H107" s="46" t="e">
        <f>H104+H105+H106</f>
        <v>#REF!</v>
      </c>
      <c r="I107" s="10"/>
      <c r="J107" s="46" t="e">
        <f>SUM(J104:J106)</f>
        <v>#REF!</v>
      </c>
      <c r="K107" s="10"/>
      <c r="L107" s="16" t="e">
        <f>J107/H107</f>
        <v>#REF!</v>
      </c>
      <c r="M107" s="10"/>
      <c r="N107" s="16">
        <f>$F$1</f>
        <v>1</v>
      </c>
      <c r="O107" s="8"/>
      <c r="P107" s="46" t="e">
        <f>SUM(P104:P106)</f>
        <v>#REF!</v>
      </c>
      <c r="Q107" s="10"/>
      <c r="R107" s="16">
        <f t="shared" si="42"/>
        <v>0</v>
      </c>
      <c r="S107" s="10"/>
      <c r="T107" s="40">
        <f t="shared" si="43"/>
        <v>0.9</v>
      </c>
      <c r="U107" s="8"/>
    </row>
    <row r="108" spans="1:21" ht="15.75" customHeight="1" x14ac:dyDescent="0.25">
      <c r="H108"/>
      <c r="J108"/>
      <c r="P108"/>
    </row>
    <row r="109" spans="1:21" ht="15.75" customHeight="1" x14ac:dyDescent="0.25">
      <c r="A109" s="514" t="s">
        <v>34</v>
      </c>
      <c r="B109" s="504" t="s">
        <v>10</v>
      </c>
      <c r="C109" s="504"/>
      <c r="D109" s="504"/>
      <c r="E109" s="504"/>
      <c r="F109" s="504"/>
      <c r="H109" s="46" t="e">
        <f>COUNTIFS(tbl_cleaning[Housing Team],"North Team 5",#REF!,"&lt;&gt;NV")</f>
        <v>#REF!</v>
      </c>
      <c r="I109" s="10"/>
      <c r="J109" s="46" t="e">
        <f>SUM(COUNTIFS(tbl_cleaning[Housing Team],"North Team 5",#REF!,{"1","2","3","4"}))</f>
        <v>#REF!</v>
      </c>
      <c r="K109" s="10"/>
      <c r="L109" s="16" t="e">
        <f>J109/H109</f>
        <v>#REF!</v>
      </c>
      <c r="M109" s="10"/>
      <c r="N109" s="16">
        <f>$F$1</f>
        <v>1</v>
      </c>
      <c r="O109" s="8"/>
      <c r="P109" s="46" t="e">
        <f>COUNTIFS(tbl_cleaning[Housing Team],"North Team 5",#REF!,3)+COUNTIFS(tbl_cleaning[Housing Team],"North Team 5",#REF!,4)</f>
        <v>#REF!</v>
      </c>
      <c r="Q109" s="10"/>
      <c r="R109" s="16">
        <f t="shared" ref="R109:R112" si="44">IFERROR(P109/J109,0)</f>
        <v>0</v>
      </c>
      <c r="S109" s="10"/>
      <c r="T109" s="40">
        <f t="shared" ref="T109:T112" si="45">$Q$1</f>
        <v>0.9</v>
      </c>
      <c r="U109" s="8"/>
    </row>
    <row r="110" spans="1:21" ht="15.75" customHeight="1" x14ac:dyDescent="0.25">
      <c r="A110" s="515"/>
      <c r="B110" s="504" t="s">
        <v>11</v>
      </c>
      <c r="C110" s="504"/>
      <c r="D110" s="504"/>
      <c r="E110" s="504"/>
      <c r="F110" s="504"/>
      <c r="H110" s="46" t="e">
        <f>COUNTIFS(tbl_cleaning[Housing Team],"North Team 5",#REF!,"&lt;&gt;NV")</f>
        <v>#REF!</v>
      </c>
      <c r="I110" s="10"/>
      <c r="J110" s="46" t="e">
        <f>SUM(COUNTIFS(tbl_cleaning[Housing Team],"North Team 5",#REF!,{"1","2","3","4"}))</f>
        <v>#REF!</v>
      </c>
      <c r="K110" s="10"/>
      <c r="L110" s="16" t="e">
        <f>J110/H110</f>
        <v>#REF!</v>
      </c>
      <c r="M110" s="10"/>
      <c r="N110" s="16">
        <f>$F$1</f>
        <v>1</v>
      </c>
      <c r="O110" s="8"/>
      <c r="P110" s="46" t="e">
        <f>COUNTIFS(tbl_cleaning[Housing Team],"North Team 5",#REF!,3)+COUNTIFS(tbl_cleaning[Housing Team],"North Team 5",#REF!,4)</f>
        <v>#REF!</v>
      </c>
      <c r="Q110" s="10"/>
      <c r="R110" s="16">
        <f t="shared" si="44"/>
        <v>0</v>
      </c>
      <c r="S110" s="10"/>
      <c r="T110" s="40">
        <f t="shared" si="45"/>
        <v>0.9</v>
      </c>
      <c r="U110" s="8"/>
    </row>
    <row r="111" spans="1:21" ht="15.75" customHeight="1" x14ac:dyDescent="0.25">
      <c r="A111" s="515"/>
      <c r="B111" s="504" t="s">
        <v>12</v>
      </c>
      <c r="C111" s="504"/>
      <c r="D111" s="504"/>
      <c r="E111" s="504"/>
      <c r="F111" s="504"/>
      <c r="H111" s="46" t="e">
        <f>COUNTIFS(#REF!,"North Team 5",#REF!,"&lt;&gt;NV")</f>
        <v>#REF!</v>
      </c>
      <c r="I111" s="10"/>
      <c r="J111" s="46" t="e">
        <f t="array" ref="J111">SUM(COUNTIFS(#REF!,"North Team 5",#REF!,{"1","2","3","4"}))</f>
        <v>#REF!</v>
      </c>
      <c r="K111" s="10"/>
      <c r="L111" s="16" t="e">
        <f>J111/H111</f>
        <v>#REF!</v>
      </c>
      <c r="M111" s="10"/>
      <c r="N111" s="16">
        <f>$F$1</f>
        <v>1</v>
      </c>
      <c r="O111" s="8"/>
      <c r="P111" s="46" t="e">
        <f>COUNTIFS(#REF!,"North Team 5",#REF!,3)+COUNTIFS(#REF!,"North Team 5",#REF!,4)</f>
        <v>#REF!</v>
      </c>
      <c r="Q111" s="10"/>
      <c r="R111" s="16">
        <f t="shared" si="44"/>
        <v>0</v>
      </c>
      <c r="S111" s="10"/>
      <c r="T111" s="40">
        <f t="shared" si="45"/>
        <v>0.9</v>
      </c>
      <c r="U111" s="8"/>
    </row>
    <row r="112" spans="1:21" ht="15.75" customHeight="1" x14ac:dyDescent="0.25">
      <c r="A112" s="516"/>
      <c r="B112" s="504" t="s">
        <v>13</v>
      </c>
      <c r="C112" s="504"/>
      <c r="D112" s="504"/>
      <c r="E112" s="504"/>
      <c r="F112" s="504"/>
      <c r="H112" s="46" t="e">
        <f>H109+H110+H111</f>
        <v>#REF!</v>
      </c>
      <c r="I112" s="10"/>
      <c r="J112" s="46" t="e">
        <f>SUM(J109:J111)</f>
        <v>#REF!</v>
      </c>
      <c r="K112" s="10"/>
      <c r="L112" s="16" t="e">
        <f>J112/H112</f>
        <v>#REF!</v>
      </c>
      <c r="M112" s="10"/>
      <c r="N112" s="16">
        <f>$F$1</f>
        <v>1</v>
      </c>
      <c r="O112" s="8"/>
      <c r="P112" s="46" t="e">
        <f>SUM(P109:P111)</f>
        <v>#REF!</v>
      </c>
      <c r="Q112" s="10"/>
      <c r="R112" s="16">
        <f t="shared" si="44"/>
        <v>0</v>
      </c>
      <c r="S112" s="10"/>
      <c r="T112" s="40">
        <f t="shared" si="45"/>
        <v>0.9</v>
      </c>
      <c r="U112" s="8"/>
    </row>
    <row r="113" spans="1:21" ht="15.75" customHeight="1" x14ac:dyDescent="0.25">
      <c r="H113"/>
      <c r="J113"/>
      <c r="P113"/>
    </row>
    <row r="114" spans="1:21" ht="15.75" customHeight="1" x14ac:dyDescent="0.25">
      <c r="A114" s="514" t="s">
        <v>35</v>
      </c>
      <c r="B114" s="504" t="s">
        <v>10</v>
      </c>
      <c r="C114" s="504"/>
      <c r="D114" s="504"/>
      <c r="E114" s="504"/>
      <c r="F114" s="504"/>
      <c r="G114" t="s">
        <v>3</v>
      </c>
      <c r="H114" s="46" t="e">
        <f>COUNTIFS(tbl_cleaning[Housing Team],"North Team 6",#REF!,"&lt;&gt;NV")</f>
        <v>#REF!</v>
      </c>
      <c r="I114" s="10"/>
      <c r="J114" s="46" t="e">
        <f>SUM(COUNTIFS(tbl_cleaning[Housing Team],"North Team 6",#REF!,{"1","2","3","4"}))</f>
        <v>#REF!</v>
      </c>
      <c r="K114" s="10"/>
      <c r="L114" s="16" t="e">
        <f>J114/H114</f>
        <v>#REF!</v>
      </c>
      <c r="M114" s="10"/>
      <c r="N114" s="16">
        <f>$F$1</f>
        <v>1</v>
      </c>
      <c r="O114" s="8"/>
      <c r="P114" s="46" t="e">
        <f>COUNTIFS(tbl_cleaning[Housing Team],"North Team 6",#REF!,3)+COUNTIFS(tbl_cleaning[Housing Team],"North Team 6",#REF!,4)</f>
        <v>#REF!</v>
      </c>
      <c r="Q114" s="10"/>
      <c r="R114" s="16">
        <f t="shared" ref="R114:R117" si="46">IFERROR(P114/J114,0)</f>
        <v>0</v>
      </c>
      <c r="S114" s="10"/>
      <c r="T114" s="40">
        <f t="shared" ref="T114:T117" si="47">$Q$1</f>
        <v>0.9</v>
      </c>
      <c r="U114" s="8"/>
    </row>
    <row r="115" spans="1:21" ht="15.75" customHeight="1" x14ac:dyDescent="0.25">
      <c r="A115" s="515"/>
      <c r="B115" s="504" t="s">
        <v>11</v>
      </c>
      <c r="C115" s="504"/>
      <c r="D115" s="504"/>
      <c r="E115" s="504"/>
      <c r="F115" s="504"/>
      <c r="H115" s="46" t="e">
        <f>COUNTIFS(tbl_cleaning[Housing Team],"North Team 6",#REF!,"&lt;&gt;NV")</f>
        <v>#REF!</v>
      </c>
      <c r="I115" s="10"/>
      <c r="J115" s="46" t="e">
        <f>SUM(COUNTIFS(tbl_cleaning[Housing Team],"North Team 6",#REF!,{"1","2","3","4"}))</f>
        <v>#REF!</v>
      </c>
      <c r="K115" s="10"/>
      <c r="L115" s="16" t="e">
        <f>J115/H115</f>
        <v>#REF!</v>
      </c>
      <c r="M115" s="10"/>
      <c r="N115" s="16">
        <f>$F$1</f>
        <v>1</v>
      </c>
      <c r="O115" s="8"/>
      <c r="P115" s="46" t="e">
        <f>COUNTIFS(tbl_cleaning[Housing Team],"North Team 6",#REF!,3)+COUNTIFS(tbl_cleaning[Housing Team],"North Team 6",#REF!,4)</f>
        <v>#REF!</v>
      </c>
      <c r="Q115" s="10"/>
      <c r="R115" s="16">
        <f t="shared" si="46"/>
        <v>0</v>
      </c>
      <c r="S115" s="10"/>
      <c r="T115" s="40">
        <f t="shared" si="47"/>
        <v>0.9</v>
      </c>
      <c r="U115" s="8"/>
    </row>
    <row r="116" spans="1:21" ht="15.75" customHeight="1" x14ac:dyDescent="0.25">
      <c r="A116" s="515"/>
      <c r="B116" s="504" t="s">
        <v>12</v>
      </c>
      <c r="C116" s="504"/>
      <c r="D116" s="504"/>
      <c r="E116" s="504"/>
      <c r="F116" s="504"/>
      <c r="H116" s="46" t="e">
        <f>COUNTIFS(#REF!,"North Team 6",#REF!,"&lt;&gt;NV")</f>
        <v>#REF!</v>
      </c>
      <c r="I116" s="10"/>
      <c r="J116" s="46" t="e">
        <f t="array" ref="J116">SUM(COUNTIFS(#REF!,"North Team 6",#REF!,{"1","2","3","4"}))</f>
        <v>#REF!</v>
      </c>
      <c r="K116" s="10"/>
      <c r="L116" s="16" t="e">
        <f>J116/H116</f>
        <v>#REF!</v>
      </c>
      <c r="M116" s="10"/>
      <c r="N116" s="16">
        <f>$F$1</f>
        <v>1</v>
      </c>
      <c r="O116" s="8"/>
      <c r="P116" s="46" t="e">
        <f>COUNTIFS(#REF!,"North Team 6",#REF!,3)+COUNTIFS(#REF!,"North Team 6",#REF!,4)</f>
        <v>#REF!</v>
      </c>
      <c r="Q116" s="10"/>
      <c r="R116" s="16">
        <f t="shared" si="46"/>
        <v>0</v>
      </c>
      <c r="S116" s="10"/>
      <c r="T116" s="40">
        <f t="shared" si="47"/>
        <v>0.9</v>
      </c>
      <c r="U116" s="8"/>
    </row>
    <row r="117" spans="1:21" ht="15.75" customHeight="1" x14ac:dyDescent="0.25">
      <c r="A117" s="516"/>
      <c r="B117" s="504" t="s">
        <v>13</v>
      </c>
      <c r="C117" s="504"/>
      <c r="D117" s="504"/>
      <c r="E117" s="504"/>
      <c r="F117" s="504"/>
      <c r="H117" s="46" t="e">
        <f>H114+H115+H116</f>
        <v>#REF!</v>
      </c>
      <c r="I117" s="10"/>
      <c r="J117" s="46" t="e">
        <f>SUM(J114:J116)</f>
        <v>#REF!</v>
      </c>
      <c r="K117" s="10"/>
      <c r="L117" s="16" t="e">
        <f>J117/H117</f>
        <v>#REF!</v>
      </c>
      <c r="M117" s="10"/>
      <c r="N117" s="16">
        <f>$F$1</f>
        <v>1</v>
      </c>
      <c r="O117" s="8"/>
      <c r="P117" s="46" t="e">
        <f>SUM(P114:P116)</f>
        <v>#REF!</v>
      </c>
      <c r="Q117" s="10"/>
      <c r="R117" s="16">
        <f t="shared" si="46"/>
        <v>0</v>
      </c>
      <c r="S117" s="10"/>
      <c r="T117" s="40">
        <f t="shared" si="47"/>
        <v>0.9</v>
      </c>
      <c r="U117" s="8"/>
    </row>
    <row r="118" spans="1:21" ht="15.75" customHeight="1" x14ac:dyDescent="0.25">
      <c r="H118"/>
      <c r="J118"/>
      <c r="P118"/>
    </row>
    <row r="119" spans="1:21" ht="15.75" customHeight="1" x14ac:dyDescent="0.25">
      <c r="A119" s="514" t="s">
        <v>36</v>
      </c>
      <c r="B119" s="504" t="s">
        <v>10</v>
      </c>
      <c r="C119" s="504"/>
      <c r="D119" s="504"/>
      <c r="E119" s="504"/>
      <c r="F119" s="504"/>
      <c r="H119" s="46" t="e">
        <f>COUNTIFS(tbl_cleaning[Housing Team],"North Team 7",#REF!,"&lt;&gt;NV")</f>
        <v>#REF!</v>
      </c>
      <c r="I119" s="10"/>
      <c r="J119" s="46" t="e">
        <f>SUM(COUNTIFS(tbl_cleaning[Housing Team],"North Team 7",#REF!,{"1","2","3","4"}))</f>
        <v>#REF!</v>
      </c>
      <c r="K119" s="10"/>
      <c r="L119" s="16" t="e">
        <f>J119/H119</f>
        <v>#REF!</v>
      </c>
      <c r="M119" s="10"/>
      <c r="N119" s="16">
        <f>$F$1</f>
        <v>1</v>
      </c>
      <c r="O119" s="8"/>
      <c r="P119" s="46" t="e">
        <f>COUNTIFS(tbl_cleaning[Housing Team],"North Team 7",#REF!,3)+COUNTIFS(tbl_cleaning[Housing Team],"North Team 7",#REF!,4)</f>
        <v>#REF!</v>
      </c>
      <c r="Q119" s="10"/>
      <c r="R119" s="16">
        <f t="shared" ref="R119:R122" si="48">IFERROR(P119/J119,0)</f>
        <v>0</v>
      </c>
      <c r="S119" s="10"/>
      <c r="T119" s="40">
        <f t="shared" ref="T119:T122" si="49">$Q$1</f>
        <v>0.9</v>
      </c>
      <c r="U119" s="8"/>
    </row>
    <row r="120" spans="1:21" ht="15.75" customHeight="1" x14ac:dyDescent="0.25">
      <c r="A120" s="515"/>
      <c r="B120" s="504" t="s">
        <v>11</v>
      </c>
      <c r="C120" s="504"/>
      <c r="D120" s="504"/>
      <c r="E120" s="504"/>
      <c r="F120" s="504"/>
      <c r="H120" s="46" t="e">
        <f>COUNTIFS(tbl_cleaning[Housing Team],"North Team 7",#REF!,"&lt;&gt;NV")</f>
        <v>#REF!</v>
      </c>
      <c r="I120" s="10"/>
      <c r="J120" s="46" t="e">
        <f>SUM(COUNTIFS(tbl_cleaning[Housing Team],"North Team 7",#REF!,{"1","2","3","4"}))</f>
        <v>#REF!</v>
      </c>
      <c r="K120" s="10"/>
      <c r="L120" s="16" t="e">
        <f>J120/H120</f>
        <v>#REF!</v>
      </c>
      <c r="M120" s="10"/>
      <c r="N120" s="16">
        <f>$F$1</f>
        <v>1</v>
      </c>
      <c r="O120" s="8"/>
      <c r="P120" s="46" t="e">
        <f>COUNTIFS(tbl_cleaning[Housing Team],"North Team 7",#REF!,3)+COUNTIFS(tbl_cleaning[Housing Team],"North Team 7",#REF!,4)</f>
        <v>#REF!</v>
      </c>
      <c r="Q120" s="10"/>
      <c r="R120" s="16">
        <f t="shared" si="48"/>
        <v>0</v>
      </c>
      <c r="S120" s="10"/>
      <c r="T120" s="40">
        <f t="shared" si="49"/>
        <v>0.9</v>
      </c>
      <c r="U120" s="8"/>
    </row>
    <row r="121" spans="1:21" ht="15.75" customHeight="1" x14ac:dyDescent="0.25">
      <c r="A121" s="515"/>
      <c r="B121" s="504" t="s">
        <v>12</v>
      </c>
      <c r="C121" s="504"/>
      <c r="D121" s="504"/>
      <c r="E121" s="504"/>
      <c r="F121" s="504"/>
      <c r="H121" s="46" t="e">
        <f>COUNTIFS(#REF!,"North Team 7",#REF!,"&lt;&gt;NV")</f>
        <v>#REF!</v>
      </c>
      <c r="I121" s="10"/>
      <c r="J121" s="46" t="e">
        <f t="array" ref="J121">SUM(COUNTIFS(#REF!,"North Team 7",#REF!,{"1","2","3","4"}))</f>
        <v>#REF!</v>
      </c>
      <c r="K121" s="10"/>
      <c r="L121" s="16" t="e">
        <f>J121/H121</f>
        <v>#REF!</v>
      </c>
      <c r="M121" s="10"/>
      <c r="N121" s="16">
        <f>$F$1</f>
        <v>1</v>
      </c>
      <c r="O121" s="8"/>
      <c r="P121" s="46" t="e">
        <f>COUNTIFS(#REF!,"North Team 7",#REF!,3)+COUNTIFS(#REF!,"North Team 7",#REF!,4)</f>
        <v>#REF!</v>
      </c>
      <c r="Q121" s="10"/>
      <c r="R121" s="16">
        <f t="shared" si="48"/>
        <v>0</v>
      </c>
      <c r="S121" s="10"/>
      <c r="T121" s="40">
        <f t="shared" si="49"/>
        <v>0.9</v>
      </c>
      <c r="U121" s="8"/>
    </row>
    <row r="122" spans="1:21" ht="15.75" customHeight="1" x14ac:dyDescent="0.25">
      <c r="A122" s="516"/>
      <c r="B122" s="504" t="s">
        <v>13</v>
      </c>
      <c r="C122" s="504"/>
      <c r="D122" s="504"/>
      <c r="E122" s="504"/>
      <c r="F122" s="504"/>
      <c r="H122" s="46" t="e">
        <f>H119+H120+H121</f>
        <v>#REF!</v>
      </c>
      <c r="I122" s="10"/>
      <c r="J122" s="46" t="e">
        <f>SUM(J119:J121)</f>
        <v>#REF!</v>
      </c>
      <c r="K122" s="10"/>
      <c r="L122" s="16" t="e">
        <f>J122/H122</f>
        <v>#REF!</v>
      </c>
      <c r="M122" s="10"/>
      <c r="N122" s="16">
        <f>$F$1</f>
        <v>1</v>
      </c>
      <c r="O122" s="8"/>
      <c r="P122" s="46" t="e">
        <f>SUM(P119:P121)</f>
        <v>#REF!</v>
      </c>
      <c r="Q122" s="10"/>
      <c r="R122" s="16">
        <f t="shared" si="48"/>
        <v>0</v>
      </c>
      <c r="S122" s="10"/>
      <c r="T122" s="40">
        <f t="shared" si="49"/>
        <v>0.9</v>
      </c>
      <c r="U122" s="8"/>
    </row>
    <row r="123" spans="1:21" ht="15.75" customHeight="1" x14ac:dyDescent="0.25">
      <c r="H123"/>
      <c r="J123"/>
      <c r="P123"/>
    </row>
    <row r="124" spans="1:21" ht="15.75" customHeight="1" x14ac:dyDescent="0.25">
      <c r="A124" s="505" t="s">
        <v>37</v>
      </c>
      <c r="B124" s="504" t="s">
        <v>10</v>
      </c>
      <c r="C124" s="504"/>
      <c r="D124" s="504"/>
      <c r="E124" s="504"/>
      <c r="F124" s="504"/>
      <c r="G124" t="s">
        <v>3</v>
      </c>
      <c r="H124" s="46" t="e">
        <f>COUNTIFS(tbl_cleaning[Housing Team],"South Team 1",#REF!,"&lt;&gt;NV")</f>
        <v>#REF!</v>
      </c>
      <c r="I124" s="10"/>
      <c r="J124" s="46" t="e">
        <f>SUM(COUNTIFS(tbl_cleaning[Housing Team],"South Team 1",#REF!,{"1","2","3","4"}))</f>
        <v>#REF!</v>
      </c>
      <c r="K124" s="10"/>
      <c r="L124" s="16" t="e">
        <f>J124/H124</f>
        <v>#REF!</v>
      </c>
      <c r="M124" s="10"/>
      <c r="N124" s="16">
        <f>$F$1</f>
        <v>1</v>
      </c>
      <c r="O124" s="8"/>
      <c r="P124" s="46" t="e">
        <f>COUNTIFS(tbl_cleaning[Housing Team],"South Team 1",#REF!,3)+COUNTIFS(tbl_cleaning[Housing Team],"South Team 1",#REF!,4)</f>
        <v>#REF!</v>
      </c>
      <c r="Q124" s="10"/>
      <c r="R124" s="16">
        <f t="shared" ref="R124:R127" si="50">IFERROR(P124/J124,0)</f>
        <v>0</v>
      </c>
      <c r="S124" s="10"/>
      <c r="T124" s="40">
        <f t="shared" ref="T124:T127" si="51">$Q$1</f>
        <v>0.9</v>
      </c>
      <c r="U124" s="8"/>
    </row>
    <row r="125" spans="1:21" ht="15.75" customHeight="1" x14ac:dyDescent="0.25">
      <c r="A125" s="529"/>
      <c r="B125" s="504" t="s">
        <v>11</v>
      </c>
      <c r="C125" s="504"/>
      <c r="D125" s="504"/>
      <c r="E125" s="504"/>
      <c r="F125" s="504"/>
      <c r="H125" s="46" t="e">
        <f>COUNTIFS(tbl_cleaning[Housing Team],"South Team 1",#REF!,"&lt;&gt;NV")</f>
        <v>#REF!</v>
      </c>
      <c r="I125" s="10"/>
      <c r="J125" s="46" t="e">
        <f>SUM(COUNTIFS(tbl_cleaning[Housing Team],"South Team 1",#REF!,{"1","2","3","4"}))</f>
        <v>#REF!</v>
      </c>
      <c r="K125" s="10"/>
      <c r="L125" s="16" t="e">
        <f>J125/H125</f>
        <v>#REF!</v>
      </c>
      <c r="M125" s="10"/>
      <c r="N125" s="16">
        <f>$F$1</f>
        <v>1</v>
      </c>
      <c r="O125" s="8"/>
      <c r="P125" s="46" t="e">
        <f>COUNTIFS(tbl_cleaning[Housing Team],"South Team 1",#REF!,3)+COUNTIFS(tbl_cleaning[Housing Team],"South Team 1",#REF!,4)</f>
        <v>#REF!</v>
      </c>
      <c r="Q125" s="10"/>
      <c r="R125" s="16">
        <f t="shared" si="50"/>
        <v>0</v>
      </c>
      <c r="S125" s="10"/>
      <c r="T125" s="40">
        <f t="shared" si="51"/>
        <v>0.9</v>
      </c>
      <c r="U125" s="8"/>
    </row>
    <row r="126" spans="1:21" ht="15.75" customHeight="1" x14ac:dyDescent="0.25">
      <c r="A126" s="529"/>
      <c r="B126" s="504" t="s">
        <v>12</v>
      </c>
      <c r="C126" s="504"/>
      <c r="D126" s="504"/>
      <c r="E126" s="504"/>
      <c r="F126" s="504"/>
      <c r="H126" s="46" t="e">
        <f>COUNTIFS(#REF!,"South Team 1",#REF!,"&lt;&gt;NV")</f>
        <v>#REF!</v>
      </c>
      <c r="I126" s="10"/>
      <c r="J126" s="46" t="e">
        <f t="array" ref="J126">SUM(COUNTIFS(#REF!,"South Team 1",#REF!,{"1","2","3","4"}))</f>
        <v>#REF!</v>
      </c>
      <c r="K126" s="10"/>
      <c r="L126" s="16" t="e">
        <f>J126/H126</f>
        <v>#REF!</v>
      </c>
      <c r="M126" s="10"/>
      <c r="N126" s="16">
        <f>$F$1</f>
        <v>1</v>
      </c>
      <c r="O126" s="8"/>
      <c r="P126" s="46" t="e">
        <f>COUNTIFS(#REF!,"South Team 1",#REF!,3)+COUNTIFS(#REF!,"South Team 1",#REF!,4)</f>
        <v>#REF!</v>
      </c>
      <c r="Q126" s="10"/>
      <c r="R126" s="16">
        <f t="shared" si="50"/>
        <v>0</v>
      </c>
      <c r="S126" s="10"/>
      <c r="T126" s="40">
        <f t="shared" si="51"/>
        <v>0.9</v>
      </c>
      <c r="U126" s="8"/>
    </row>
    <row r="127" spans="1:21" ht="15.75" customHeight="1" x14ac:dyDescent="0.25">
      <c r="A127" s="530"/>
      <c r="B127" s="504" t="s">
        <v>13</v>
      </c>
      <c r="C127" s="504"/>
      <c r="D127" s="504"/>
      <c r="E127" s="504"/>
      <c r="F127" s="504"/>
      <c r="H127" s="46" t="e">
        <f>H124+H125+H126</f>
        <v>#REF!</v>
      </c>
      <c r="I127" s="10"/>
      <c r="J127" s="46" t="e">
        <f>SUM(J124:J126)</f>
        <v>#REF!</v>
      </c>
      <c r="K127" s="10"/>
      <c r="L127" s="16" t="e">
        <f>J127/H127</f>
        <v>#REF!</v>
      </c>
      <c r="M127" s="10"/>
      <c r="N127" s="16">
        <f>$F$1</f>
        <v>1</v>
      </c>
      <c r="O127" s="8"/>
      <c r="P127" s="46" t="e">
        <f>SUM(P124:P126)</f>
        <v>#REF!</v>
      </c>
      <c r="Q127" s="10"/>
      <c r="R127" s="16">
        <f t="shared" si="50"/>
        <v>0</v>
      </c>
      <c r="S127" s="10"/>
      <c r="T127" s="40">
        <f t="shared" si="51"/>
        <v>0.9</v>
      </c>
      <c r="U127" s="8"/>
    </row>
    <row r="128" spans="1:21" ht="15.75" customHeight="1" x14ac:dyDescent="0.25">
      <c r="H128"/>
      <c r="J128"/>
      <c r="P128"/>
    </row>
    <row r="129" spans="1:21" ht="15.75" customHeight="1" x14ac:dyDescent="0.25">
      <c r="A129" s="505" t="s">
        <v>38</v>
      </c>
      <c r="B129" s="504" t="s">
        <v>10</v>
      </c>
      <c r="C129" s="504"/>
      <c r="D129" s="504"/>
      <c r="E129" s="504"/>
      <c r="F129" s="504"/>
      <c r="H129" s="46" t="e">
        <f>COUNTIFS(tbl_cleaning[Housing Team],"South Team 2",#REF!,"&lt;&gt;NV")</f>
        <v>#REF!</v>
      </c>
      <c r="I129" s="10"/>
      <c r="J129" s="46" t="e">
        <f>SUM(COUNTIFS(tbl_cleaning[Housing Team],"South Team 2",#REF!,{"1","2","3","4"}))</f>
        <v>#REF!</v>
      </c>
      <c r="K129" s="10"/>
      <c r="L129" s="16" t="e">
        <f>J129/H129</f>
        <v>#REF!</v>
      </c>
      <c r="M129" s="10"/>
      <c r="N129" s="16">
        <f>$F$1</f>
        <v>1</v>
      </c>
      <c r="O129" s="8"/>
      <c r="P129" s="46" t="e">
        <f>COUNTIFS(tbl_cleaning[Housing Team],"South Team 2",#REF!,3)+COUNTIFS(tbl_cleaning[Housing Team],"South Team 2",#REF!,4)</f>
        <v>#REF!</v>
      </c>
      <c r="Q129" s="10"/>
      <c r="R129" s="16">
        <f t="shared" ref="R129:R132" si="52">IFERROR(P129/J129,0)</f>
        <v>0</v>
      </c>
      <c r="S129" s="10"/>
      <c r="T129" s="40">
        <f t="shared" ref="T129:T132" si="53">$Q$1</f>
        <v>0.9</v>
      </c>
      <c r="U129" s="8"/>
    </row>
    <row r="130" spans="1:21" ht="15.75" customHeight="1" x14ac:dyDescent="0.25">
      <c r="A130" s="529"/>
      <c r="B130" s="504" t="s">
        <v>11</v>
      </c>
      <c r="C130" s="504"/>
      <c r="D130" s="504"/>
      <c r="E130" s="504"/>
      <c r="F130" s="504"/>
      <c r="H130" s="46" t="e">
        <f>COUNTIFS(tbl_cleaning[Housing Team],"South Team 2",#REF!,"&lt;&gt;NV")</f>
        <v>#REF!</v>
      </c>
      <c r="I130" s="10"/>
      <c r="J130" s="46" t="e">
        <f>SUM(COUNTIFS(tbl_cleaning[Housing Team],"South Team 2",#REF!,{"1","2","3","4"}))</f>
        <v>#REF!</v>
      </c>
      <c r="K130" s="10"/>
      <c r="L130" s="16" t="e">
        <f>J130/H130</f>
        <v>#REF!</v>
      </c>
      <c r="M130" s="10"/>
      <c r="N130" s="16">
        <f>$F$1</f>
        <v>1</v>
      </c>
      <c r="O130" s="8"/>
      <c r="P130" s="46" t="e">
        <f>COUNTIFS(tbl_cleaning[Housing Team],"South Team 2",#REF!,3)+COUNTIFS(tbl_cleaning[Housing Team],"South Team 2",#REF!,4)</f>
        <v>#REF!</v>
      </c>
      <c r="Q130" s="10"/>
      <c r="R130" s="16">
        <f t="shared" si="52"/>
        <v>0</v>
      </c>
      <c r="S130" s="10"/>
      <c r="T130" s="40">
        <f t="shared" si="53"/>
        <v>0.9</v>
      </c>
      <c r="U130" s="8"/>
    </row>
    <row r="131" spans="1:21" ht="15.75" customHeight="1" x14ac:dyDescent="0.25">
      <c r="A131" s="529"/>
      <c r="B131" s="504" t="s">
        <v>12</v>
      </c>
      <c r="C131" s="504"/>
      <c r="D131" s="504"/>
      <c r="E131" s="504"/>
      <c r="F131" s="504"/>
      <c r="H131" s="46" t="e">
        <f>COUNTIFS(#REF!,"South Team 2",#REF!,"&lt;&gt;NV")</f>
        <v>#REF!</v>
      </c>
      <c r="I131" s="10"/>
      <c r="J131" s="46" t="e">
        <f t="array" ref="J131">SUM(COUNTIFS(#REF!,"South Team 2",#REF!,{"1","2","3","4"}))</f>
        <v>#REF!</v>
      </c>
      <c r="K131" s="10"/>
      <c r="L131" s="16" t="e">
        <f>J131/H131</f>
        <v>#REF!</v>
      </c>
      <c r="M131" s="10"/>
      <c r="N131" s="16">
        <f>$F$1</f>
        <v>1</v>
      </c>
      <c r="O131" s="8"/>
      <c r="P131" s="46" t="e">
        <f>COUNTIFS(#REF!,"South Team 2",#REF!,3)+COUNTIFS(#REF!,"South Team 2",#REF!,4)</f>
        <v>#REF!</v>
      </c>
      <c r="Q131" s="10"/>
      <c r="R131" s="16">
        <f t="shared" si="52"/>
        <v>0</v>
      </c>
      <c r="S131" s="10"/>
      <c r="T131" s="40">
        <f t="shared" si="53"/>
        <v>0.9</v>
      </c>
      <c r="U131" s="8"/>
    </row>
    <row r="132" spans="1:21" ht="15.75" customHeight="1" x14ac:dyDescent="0.25">
      <c r="A132" s="530"/>
      <c r="B132" s="504" t="s">
        <v>13</v>
      </c>
      <c r="C132" s="504"/>
      <c r="D132" s="504"/>
      <c r="E132" s="504"/>
      <c r="F132" s="504"/>
      <c r="H132" s="46" t="e">
        <f>H129+H130+H131</f>
        <v>#REF!</v>
      </c>
      <c r="I132" s="10"/>
      <c r="J132" s="46" t="e">
        <f>SUM(J129:J131)</f>
        <v>#REF!</v>
      </c>
      <c r="K132" s="10"/>
      <c r="L132" s="16" t="e">
        <f>J132/H132</f>
        <v>#REF!</v>
      </c>
      <c r="M132" s="10"/>
      <c r="N132" s="16">
        <f>$F$1</f>
        <v>1</v>
      </c>
      <c r="O132" s="8"/>
      <c r="P132" s="46" t="e">
        <f>SUM(P129:P131)</f>
        <v>#REF!</v>
      </c>
      <c r="Q132" s="10"/>
      <c r="R132" s="16">
        <f t="shared" si="52"/>
        <v>0</v>
      </c>
      <c r="S132" s="10"/>
      <c r="T132" s="40">
        <f t="shared" si="53"/>
        <v>0.9</v>
      </c>
      <c r="U132" s="8"/>
    </row>
    <row r="133" spans="1:21" ht="15.75" customHeight="1" thickBot="1" x14ac:dyDescent="0.3">
      <c r="H133"/>
      <c r="J133"/>
      <c r="P133"/>
    </row>
    <row r="134" spans="1:21" ht="15.75" customHeight="1" x14ac:dyDescent="0.25">
      <c r="A134" s="517" t="s">
        <v>39</v>
      </c>
      <c r="B134" s="50" t="s">
        <v>10</v>
      </c>
      <c r="C134" s="50"/>
      <c r="D134" s="50"/>
      <c r="E134" s="50"/>
      <c r="F134" s="51"/>
      <c r="G134" s="15"/>
      <c r="H134" s="46" t="e">
        <f>SUM(H4+H9+H19+H24+H29+H34+H39+H49)</f>
        <v>#REF!</v>
      </c>
      <c r="I134" s="10"/>
      <c r="J134" s="46" t="e">
        <f>SUM(J4+J9+J19+J24+J29+J34+J39+J49)</f>
        <v>#REF!</v>
      </c>
      <c r="K134" s="10"/>
      <c r="L134" s="16" t="e">
        <f>J134/H134</f>
        <v>#REF!</v>
      </c>
      <c r="M134" s="10"/>
      <c r="N134" s="16">
        <f>$F$1</f>
        <v>1</v>
      </c>
      <c r="O134" s="8"/>
      <c r="P134" s="46" t="e">
        <f>SUM(P4+P9+P19+P24+P29+P34+P39+P49)</f>
        <v>#REF!</v>
      </c>
      <c r="Q134" s="10"/>
      <c r="R134" s="16">
        <f t="shared" ref="R134:R137" si="54">IFERROR(P134/J134,0)</f>
        <v>0</v>
      </c>
      <c r="S134" s="10"/>
      <c r="T134" s="40">
        <f t="shared" ref="T134:T152" si="55">$Q$1</f>
        <v>0.9</v>
      </c>
      <c r="U134" s="8"/>
    </row>
    <row r="135" spans="1:21" ht="15.75" customHeight="1" x14ac:dyDescent="0.25">
      <c r="A135" s="518"/>
      <c r="B135" s="50" t="s">
        <v>11</v>
      </c>
      <c r="C135" s="50"/>
      <c r="D135" s="50"/>
      <c r="E135" s="50"/>
      <c r="F135" s="51"/>
      <c r="G135" s="15"/>
      <c r="H135" s="46" t="e">
        <f>SUM(H5+H10+H20+H25+H30+H35+H40+H50)</f>
        <v>#REF!</v>
      </c>
      <c r="I135" s="10"/>
      <c r="J135" s="46" t="e">
        <f>SUM(J5+J10+J20+J25+J30+J35+J40+J50)</f>
        <v>#REF!</v>
      </c>
      <c r="K135" s="10"/>
      <c r="L135" s="16" t="e">
        <f>J135/H135</f>
        <v>#REF!</v>
      </c>
      <c r="M135" s="10"/>
      <c r="N135" s="16">
        <f>$F$1</f>
        <v>1</v>
      </c>
      <c r="O135" s="8"/>
      <c r="P135" s="46" t="e">
        <f>SUM(P5+P10+P20+P25+P30+P35+P40+P50)</f>
        <v>#REF!</v>
      </c>
      <c r="Q135" s="10"/>
      <c r="R135" s="16">
        <f t="shared" si="54"/>
        <v>0</v>
      </c>
      <c r="S135" s="10"/>
      <c r="T135" s="40">
        <f t="shared" si="55"/>
        <v>0.9</v>
      </c>
      <c r="U135" s="8"/>
    </row>
    <row r="136" spans="1:21" ht="15.75" customHeight="1" x14ac:dyDescent="0.25">
      <c r="A136" s="518"/>
      <c r="B136" s="50" t="s">
        <v>12</v>
      </c>
      <c r="C136" s="50"/>
      <c r="D136" s="50"/>
      <c r="E136" s="50"/>
      <c r="F136" s="51"/>
      <c r="G136" s="15"/>
      <c r="H136" s="46" t="e">
        <f>SUM(H6+H11+H21+H26+H31+H36+H41+H51)</f>
        <v>#REF!</v>
      </c>
      <c r="I136" s="10"/>
      <c r="J136" s="46" t="e">
        <f>SUM(J6+J11+J21+J26+J31+J36+J41+J51)</f>
        <v>#REF!</v>
      </c>
      <c r="K136" s="10"/>
      <c r="L136" s="16" t="e">
        <f>J136/H136</f>
        <v>#REF!</v>
      </c>
      <c r="M136" s="10"/>
      <c r="N136" s="16">
        <f>$F$1</f>
        <v>1</v>
      </c>
      <c r="O136" s="8"/>
      <c r="P136" s="46" t="e">
        <f>SUM(P6+P11+P21+P26+P31+P36+P41+P51)</f>
        <v>#REF!</v>
      </c>
      <c r="Q136" s="10"/>
      <c r="R136" s="16">
        <f t="shared" si="54"/>
        <v>0</v>
      </c>
      <c r="S136" s="10"/>
      <c r="T136" s="40">
        <f t="shared" si="55"/>
        <v>0.9</v>
      </c>
      <c r="U136" s="8"/>
    </row>
    <row r="137" spans="1:21" ht="15.75" customHeight="1" thickBot="1" x14ac:dyDescent="0.3">
      <c r="A137" s="519"/>
      <c r="B137" s="50" t="s">
        <v>13</v>
      </c>
      <c r="C137" s="50"/>
      <c r="D137" s="50"/>
      <c r="E137" s="50"/>
      <c r="F137" s="51"/>
      <c r="G137" s="8"/>
      <c r="H137" s="46" t="e">
        <f>SUM(H134+H135+H136)</f>
        <v>#REF!</v>
      </c>
      <c r="I137" s="10"/>
      <c r="J137" s="46" t="e">
        <f>SUM(J7+J12+J22+J27+J32+J37+J42+J52)</f>
        <v>#REF!</v>
      </c>
      <c r="K137" s="10"/>
      <c r="L137" s="16" t="e">
        <f>J137/H137</f>
        <v>#REF!</v>
      </c>
      <c r="M137" s="10"/>
      <c r="N137" s="16">
        <f>$F$1</f>
        <v>1</v>
      </c>
      <c r="O137" s="8"/>
      <c r="P137" s="46" t="e">
        <f>SUM(P7+P12+P22+P27+P32+P37+P42+P52)</f>
        <v>#REF!</v>
      </c>
      <c r="Q137" s="10"/>
      <c r="R137" s="16">
        <f t="shared" si="54"/>
        <v>0</v>
      </c>
      <c r="S137" s="10"/>
      <c r="T137" s="40">
        <f t="shared" si="55"/>
        <v>0.9</v>
      </c>
      <c r="U137" s="8"/>
    </row>
    <row r="138" spans="1:21" ht="15.75" customHeight="1" thickBot="1" x14ac:dyDescent="0.3">
      <c r="H138"/>
      <c r="J138"/>
      <c r="P138"/>
    </row>
    <row r="139" spans="1:21" ht="15.75" customHeight="1" x14ac:dyDescent="0.25">
      <c r="A139" s="520" t="s">
        <v>40</v>
      </c>
      <c r="B139" s="50" t="s">
        <v>10</v>
      </c>
      <c r="C139" s="50"/>
      <c r="D139" s="50"/>
      <c r="E139" s="50"/>
      <c r="F139" s="51"/>
      <c r="G139" s="15"/>
      <c r="H139" s="46" t="e">
        <f>SUM(H14+H44+H54+H124+H129)</f>
        <v>#REF!</v>
      </c>
      <c r="I139" s="10"/>
      <c r="J139" s="46" t="e">
        <f>SUM(J14+J44+J54+J124+J129)</f>
        <v>#REF!</v>
      </c>
      <c r="K139" s="10"/>
      <c r="L139" s="16" t="e">
        <f>J139/H139</f>
        <v>#REF!</v>
      </c>
      <c r="M139" s="10"/>
      <c r="N139" s="16">
        <f>$F$1</f>
        <v>1</v>
      </c>
      <c r="O139" s="8"/>
      <c r="P139" s="46" t="e">
        <f>SUM(P14+P44+P54+P124+P129)</f>
        <v>#REF!</v>
      </c>
      <c r="Q139" s="10"/>
      <c r="R139" s="16">
        <f t="shared" ref="R139:R142" si="56">IFERROR(P139/J139,0)</f>
        <v>0</v>
      </c>
      <c r="S139" s="10"/>
      <c r="T139" s="40">
        <f t="shared" si="55"/>
        <v>0.9</v>
      </c>
      <c r="U139" s="8"/>
    </row>
    <row r="140" spans="1:21" ht="15.75" customHeight="1" x14ac:dyDescent="0.25">
      <c r="A140" s="521"/>
      <c r="B140" s="50" t="s">
        <v>11</v>
      </c>
      <c r="C140" s="50"/>
      <c r="D140" s="50"/>
      <c r="E140" s="50"/>
      <c r="F140" s="51"/>
      <c r="G140" s="15"/>
      <c r="H140" s="46" t="e">
        <f>SUM(H15+H45+H55+H125+H130)</f>
        <v>#REF!</v>
      </c>
      <c r="I140" s="10"/>
      <c r="J140" s="46" t="e">
        <f>SUM(J15+J45+J55+J125+J130)</f>
        <v>#REF!</v>
      </c>
      <c r="K140" s="10"/>
      <c r="L140" s="16" t="e">
        <f>J140/H140</f>
        <v>#REF!</v>
      </c>
      <c r="M140" s="10"/>
      <c r="N140" s="16">
        <f>$F$1</f>
        <v>1</v>
      </c>
      <c r="O140" s="8"/>
      <c r="P140" s="46" t="e">
        <f>SUM(P15+P45+P55+P125+P130)</f>
        <v>#REF!</v>
      </c>
      <c r="Q140" s="10"/>
      <c r="R140" s="16">
        <f t="shared" si="56"/>
        <v>0</v>
      </c>
      <c r="S140" s="10"/>
      <c r="T140" s="40">
        <f t="shared" si="55"/>
        <v>0.9</v>
      </c>
      <c r="U140" s="8"/>
    </row>
    <row r="141" spans="1:21" ht="15.75" customHeight="1" x14ac:dyDescent="0.25">
      <c r="A141" s="521"/>
      <c r="B141" s="50" t="s">
        <v>12</v>
      </c>
      <c r="C141" s="50"/>
      <c r="D141" s="50"/>
      <c r="E141" s="50"/>
      <c r="F141" s="51"/>
      <c r="G141" s="15"/>
      <c r="H141" s="46" t="e">
        <f>SUM(H16+H46+H56+H126+H131)</f>
        <v>#REF!</v>
      </c>
      <c r="I141" s="10"/>
      <c r="J141" s="46" t="e">
        <f>SUM(J16+J46+J56+J126+J131)</f>
        <v>#REF!</v>
      </c>
      <c r="K141" s="10"/>
      <c r="L141" s="16" t="e">
        <f>J141/H141</f>
        <v>#REF!</v>
      </c>
      <c r="M141" s="10"/>
      <c r="N141" s="16">
        <f>$F$1</f>
        <v>1</v>
      </c>
      <c r="O141" s="8"/>
      <c r="P141" s="46" t="e">
        <f>SUM(P16+P46+P56+P126+P131)</f>
        <v>#REF!</v>
      </c>
      <c r="Q141" s="10"/>
      <c r="R141" s="16">
        <f t="shared" si="56"/>
        <v>0</v>
      </c>
      <c r="S141" s="10"/>
      <c r="T141" s="40">
        <f t="shared" si="55"/>
        <v>0.9</v>
      </c>
      <c r="U141" s="8"/>
    </row>
    <row r="142" spans="1:21" ht="15.75" customHeight="1" thickBot="1" x14ac:dyDescent="0.3">
      <c r="A142" s="522"/>
      <c r="B142" s="50" t="s">
        <v>13</v>
      </c>
      <c r="C142" s="50"/>
      <c r="D142" s="50"/>
      <c r="E142" s="50"/>
      <c r="F142" s="51"/>
      <c r="G142" s="8"/>
      <c r="H142" s="46" t="e">
        <f>SUM(H139+H140+H141)</f>
        <v>#REF!</v>
      </c>
      <c r="I142" s="10"/>
      <c r="J142" s="46" t="e">
        <f>SUM(J139+J140+J141)</f>
        <v>#REF!</v>
      </c>
      <c r="K142" s="10"/>
      <c r="L142" s="16" t="e">
        <f>J142/H142</f>
        <v>#REF!</v>
      </c>
      <c r="M142" s="10"/>
      <c r="N142" s="16">
        <f>$F$1</f>
        <v>1</v>
      </c>
      <c r="O142" s="8"/>
      <c r="P142" s="46" t="e">
        <f>SUM(P139+P140+P141)</f>
        <v>#REF!</v>
      </c>
      <c r="Q142" s="10"/>
      <c r="R142" s="16">
        <f t="shared" si="56"/>
        <v>0</v>
      </c>
      <c r="S142" s="10"/>
      <c r="T142" s="40">
        <f t="shared" si="55"/>
        <v>0.9</v>
      </c>
      <c r="U142" s="8"/>
    </row>
    <row r="143" spans="1:21" ht="15.75" thickBot="1" x14ac:dyDescent="0.3">
      <c r="H143"/>
      <c r="J143"/>
      <c r="P143"/>
    </row>
    <row r="144" spans="1:21" ht="15.75" x14ac:dyDescent="0.25">
      <c r="A144" s="523" t="s">
        <v>41</v>
      </c>
      <c r="B144" s="50" t="s">
        <v>10</v>
      </c>
      <c r="C144" s="50"/>
      <c r="D144" s="50"/>
      <c r="E144" s="50"/>
      <c r="F144" s="51"/>
      <c r="G144" s="15"/>
      <c r="H144" s="46" t="e">
        <f>SUM(H59+H69+H74+H79+H84)</f>
        <v>#REF!</v>
      </c>
      <c r="I144" s="10"/>
      <c r="J144" s="46" t="e">
        <f>SUM(J59+J69+J74+J79+J84)</f>
        <v>#REF!</v>
      </c>
      <c r="K144" s="10"/>
      <c r="L144" s="16" t="e">
        <f>J144/H144</f>
        <v>#REF!</v>
      </c>
      <c r="M144" s="10"/>
      <c r="N144" s="16">
        <f>$F$1</f>
        <v>1</v>
      </c>
      <c r="O144" s="8"/>
      <c r="P144" s="46" t="e">
        <f>SUM(P59+P69+P74+P79+P84)</f>
        <v>#REF!</v>
      </c>
      <c r="Q144" s="10"/>
      <c r="R144" s="16">
        <f t="shared" ref="R144:R147" si="57">IFERROR(P144/J144,0)</f>
        <v>0</v>
      </c>
      <c r="S144" s="10"/>
      <c r="T144" s="40">
        <f t="shared" si="55"/>
        <v>0.9</v>
      </c>
    </row>
    <row r="145" spans="1:20" ht="15.75" x14ac:dyDescent="0.25">
      <c r="A145" s="524"/>
      <c r="B145" s="50" t="s">
        <v>11</v>
      </c>
      <c r="C145" s="50"/>
      <c r="D145" s="50"/>
      <c r="E145" s="50"/>
      <c r="F145" s="51"/>
      <c r="G145" s="15"/>
      <c r="H145" s="46" t="e">
        <f>SUM(H60+H70+H75+H80+H85)</f>
        <v>#REF!</v>
      </c>
      <c r="I145" s="10"/>
      <c r="J145" s="46" t="e">
        <f>SUM(J60+J70+J75+J80+J85)</f>
        <v>#REF!</v>
      </c>
      <c r="K145" s="10"/>
      <c r="L145" s="16" t="e">
        <f>J145/H145</f>
        <v>#REF!</v>
      </c>
      <c r="M145" s="10"/>
      <c r="N145" s="16">
        <f>$F$1</f>
        <v>1</v>
      </c>
      <c r="O145" s="8"/>
      <c r="P145" s="46" t="e">
        <f>SUM(P60+P70+P75+P80+P85)</f>
        <v>#REF!</v>
      </c>
      <c r="Q145" s="10"/>
      <c r="R145" s="16">
        <f t="shared" si="57"/>
        <v>0</v>
      </c>
      <c r="S145" s="10"/>
      <c r="T145" s="40">
        <f t="shared" si="55"/>
        <v>0.9</v>
      </c>
    </row>
    <row r="146" spans="1:20" ht="15.75" x14ac:dyDescent="0.25">
      <c r="A146" s="524"/>
      <c r="B146" s="50" t="s">
        <v>12</v>
      </c>
      <c r="C146" s="50"/>
      <c r="D146" s="50"/>
      <c r="E146" s="50"/>
      <c r="F146" s="51"/>
      <c r="G146" s="15"/>
      <c r="H146" s="46" t="e">
        <f>SUM(H61+H71+H76+H81+H86)</f>
        <v>#REF!</v>
      </c>
      <c r="I146" s="10"/>
      <c r="J146" s="46" t="e">
        <f>SUM(J61+J71+J76+J81+J86)</f>
        <v>#REF!</v>
      </c>
      <c r="K146" s="10"/>
      <c r="L146" s="16" t="e">
        <f>J146/H146</f>
        <v>#REF!</v>
      </c>
      <c r="M146" s="10"/>
      <c r="N146" s="16">
        <f>$F$1</f>
        <v>1</v>
      </c>
      <c r="O146" s="8"/>
      <c r="P146" s="46" t="e">
        <f>SUM(P61+P71+P76+P81+P86)</f>
        <v>#REF!</v>
      </c>
      <c r="Q146" s="10"/>
      <c r="R146" s="16">
        <f t="shared" si="57"/>
        <v>0</v>
      </c>
      <c r="S146" s="10"/>
      <c r="T146" s="40">
        <f t="shared" si="55"/>
        <v>0.9</v>
      </c>
    </row>
    <row r="147" spans="1:20" ht="15.75" thickBot="1" x14ac:dyDescent="0.3">
      <c r="A147" s="525"/>
      <c r="B147" s="50" t="s">
        <v>13</v>
      </c>
      <c r="C147" s="50"/>
      <c r="D147" s="50"/>
      <c r="E147" s="50"/>
      <c r="F147" s="51"/>
      <c r="G147" s="8"/>
      <c r="H147" s="46" t="e">
        <f>SUM(H144+H145+H146)</f>
        <v>#REF!</v>
      </c>
      <c r="I147" s="10"/>
      <c r="J147" s="46" t="e">
        <f>SUM(J144+J145+J146)</f>
        <v>#REF!</v>
      </c>
      <c r="K147" s="10"/>
      <c r="L147" s="16" t="e">
        <f>J147/H147</f>
        <v>#REF!</v>
      </c>
      <c r="M147" s="10"/>
      <c r="N147" s="16">
        <f>$F$1</f>
        <v>1</v>
      </c>
      <c r="O147" s="8"/>
      <c r="P147" s="46" t="e">
        <f>SUM(P144+P145+P146)</f>
        <v>#REF!</v>
      </c>
      <c r="Q147" s="10"/>
      <c r="R147" s="16">
        <f t="shared" si="57"/>
        <v>0</v>
      </c>
      <c r="S147" s="10"/>
      <c r="T147" s="40">
        <f t="shared" si="55"/>
        <v>0.9</v>
      </c>
    </row>
    <row r="148" spans="1:20" ht="15.75" thickBot="1" x14ac:dyDescent="0.3">
      <c r="H148"/>
      <c r="J148"/>
      <c r="P148"/>
    </row>
    <row r="149" spans="1:20" ht="15.75" x14ac:dyDescent="0.25">
      <c r="A149" s="526" t="s">
        <v>42</v>
      </c>
      <c r="B149" s="50" t="s">
        <v>10</v>
      </c>
      <c r="C149" s="50"/>
      <c r="D149" s="50"/>
      <c r="E149" s="50"/>
      <c r="F149" s="51"/>
      <c r="G149" s="15"/>
      <c r="H149" s="46" t="e">
        <f>SUM(H89+H94+H99+H104+H109+H114+H119)</f>
        <v>#REF!</v>
      </c>
      <c r="I149" s="10"/>
      <c r="J149" s="46" t="e">
        <f>SUM(J89+J94+J99+J104+J109+J114+J119)</f>
        <v>#REF!</v>
      </c>
      <c r="K149" s="10"/>
      <c r="L149" s="16" t="e">
        <f>J149/H149</f>
        <v>#REF!</v>
      </c>
      <c r="M149" s="10"/>
      <c r="N149" s="16">
        <f>$F$1</f>
        <v>1</v>
      </c>
      <c r="O149" s="8"/>
      <c r="P149" s="46" t="e">
        <f>SUM(P89+P94+P99+P104+P109+P114+P119)</f>
        <v>#REF!</v>
      </c>
      <c r="Q149" s="10"/>
      <c r="R149" s="16">
        <f t="shared" ref="R149:R152" si="58">IFERROR(P149/J149,0)</f>
        <v>0</v>
      </c>
      <c r="S149" s="10"/>
      <c r="T149" s="40">
        <f t="shared" si="55"/>
        <v>0.9</v>
      </c>
    </row>
    <row r="150" spans="1:20" ht="15.75" x14ac:dyDescent="0.25">
      <c r="A150" s="527"/>
      <c r="B150" s="50" t="s">
        <v>11</v>
      </c>
      <c r="C150" s="50"/>
      <c r="D150" s="50"/>
      <c r="E150" s="50"/>
      <c r="F150" s="51"/>
      <c r="G150" s="15"/>
      <c r="H150" s="46" t="e">
        <f>SUM(H90+H95+H100+H105+H110+H115+H120)</f>
        <v>#REF!</v>
      </c>
      <c r="I150" s="10"/>
      <c r="J150" s="46" t="e">
        <f>SUM(J90+J95+J100+J105+J110+J115+J120)</f>
        <v>#REF!</v>
      </c>
      <c r="K150" s="10"/>
      <c r="L150" s="16" t="e">
        <f>J150/H150</f>
        <v>#REF!</v>
      </c>
      <c r="M150" s="10"/>
      <c r="N150" s="16">
        <f>$F$1</f>
        <v>1</v>
      </c>
      <c r="O150" s="8"/>
      <c r="P150" s="46" t="e">
        <f>SUM(P90+P95+P100+P105+P110+P115+P120)</f>
        <v>#REF!</v>
      </c>
      <c r="Q150" s="10"/>
      <c r="R150" s="16">
        <f t="shared" si="58"/>
        <v>0</v>
      </c>
      <c r="S150" s="10"/>
      <c r="T150" s="40">
        <f t="shared" si="55"/>
        <v>0.9</v>
      </c>
    </row>
    <row r="151" spans="1:20" ht="15.75" x14ac:dyDescent="0.25">
      <c r="A151" s="527"/>
      <c r="B151" s="50" t="s">
        <v>12</v>
      </c>
      <c r="C151" s="50"/>
      <c r="D151" s="50"/>
      <c r="E151" s="50"/>
      <c r="F151" s="51"/>
      <c r="G151" s="15"/>
      <c r="H151" s="46" t="e">
        <f>SUM(H91+H96+H101+H106+H111+H116+H121)</f>
        <v>#REF!</v>
      </c>
      <c r="I151" s="10"/>
      <c r="J151" s="46" t="e">
        <f>SUM(J91+J96+J101+J106+J111+J116+J121)</f>
        <v>#REF!</v>
      </c>
      <c r="K151" s="10"/>
      <c r="L151" s="16" t="e">
        <f>J151/H151</f>
        <v>#REF!</v>
      </c>
      <c r="M151" s="10"/>
      <c r="N151" s="16">
        <f>$F$1</f>
        <v>1</v>
      </c>
      <c r="O151" s="8"/>
      <c r="P151" s="46" t="e">
        <f>SUM(P91+P96+P101+P106+P111+P116+P121)</f>
        <v>#REF!</v>
      </c>
      <c r="Q151" s="10"/>
      <c r="R151" s="16">
        <f t="shared" si="58"/>
        <v>0</v>
      </c>
      <c r="S151" s="10"/>
      <c r="T151" s="40">
        <f t="shared" si="55"/>
        <v>0.9</v>
      </c>
    </row>
    <row r="152" spans="1:20" ht="15.75" thickBot="1" x14ac:dyDescent="0.3">
      <c r="A152" s="528"/>
      <c r="B152" s="50" t="s">
        <v>13</v>
      </c>
      <c r="C152" s="50"/>
      <c r="D152" s="50"/>
      <c r="E152" s="50"/>
      <c r="F152" s="51"/>
      <c r="G152" s="8"/>
      <c r="H152" s="46" t="e">
        <f>SUM(H149+H150+H151)</f>
        <v>#REF!</v>
      </c>
      <c r="I152" s="10"/>
      <c r="J152" s="46" t="e">
        <f>SUM(J149+J150+J151)</f>
        <v>#REF!</v>
      </c>
      <c r="K152" s="10"/>
      <c r="L152" s="16" t="e">
        <f>J152/H152</f>
        <v>#REF!</v>
      </c>
      <c r="M152" s="10"/>
      <c r="N152" s="16">
        <f>$F$1</f>
        <v>1</v>
      </c>
      <c r="O152" s="8"/>
      <c r="P152" s="46" t="e">
        <f>SUM(P149+P150+P151)</f>
        <v>#REF!</v>
      </c>
      <c r="Q152" s="10"/>
      <c r="R152" s="16">
        <f t="shared" si="58"/>
        <v>0</v>
      </c>
      <c r="S152" s="10"/>
      <c r="T152" s="40">
        <f t="shared" si="55"/>
        <v>0.9</v>
      </c>
    </row>
    <row r="153" spans="1:20" ht="15.75" thickBot="1" x14ac:dyDescent="0.3">
      <c r="H153"/>
      <c r="J153"/>
      <c r="P153"/>
    </row>
    <row r="154" spans="1:20" ht="29.25" customHeight="1" thickBot="1" x14ac:dyDescent="0.3">
      <c r="E154" s="149" t="s">
        <v>43</v>
      </c>
      <c r="F154" s="150"/>
      <c r="H154" s="151" t="e">
        <f>SUM(H137+H142+H148+H152)</f>
        <v>#REF!</v>
      </c>
      <c r="J154" s="151" t="e">
        <f>SUM(J137+J142+J147+J152)</f>
        <v>#REF!</v>
      </c>
      <c r="L154" s="152" t="e">
        <f>SUM(J154/H154)</f>
        <v>#REF!</v>
      </c>
      <c r="N154" s="16">
        <f>$F$1</f>
        <v>1</v>
      </c>
      <c r="P154" s="151" t="e">
        <f>SUM(P137+P142+P147+P152)</f>
        <v>#REF!</v>
      </c>
      <c r="R154" s="152">
        <f>IFERROR(P154/J154,0)</f>
        <v>0</v>
      </c>
      <c r="T154" s="153">
        <f>IFERROR(P154/J154,0)</f>
        <v>0</v>
      </c>
    </row>
  </sheetData>
  <sheetProtection sheet="1" objects="1" scenarios="1"/>
  <mergeCells count="134">
    <mergeCell ref="A134:A137"/>
    <mergeCell ref="A139:A142"/>
    <mergeCell ref="A144:A147"/>
    <mergeCell ref="A149:A152"/>
    <mergeCell ref="A124:A127"/>
    <mergeCell ref="B124:F124"/>
    <mergeCell ref="B125:F125"/>
    <mergeCell ref="B126:F126"/>
    <mergeCell ref="B127:F127"/>
    <mergeCell ref="A129:A132"/>
    <mergeCell ref="B129:F129"/>
    <mergeCell ref="B130:F130"/>
    <mergeCell ref="B131:F131"/>
    <mergeCell ref="B132:F132"/>
    <mergeCell ref="A114:A117"/>
    <mergeCell ref="B114:F114"/>
    <mergeCell ref="B115:F115"/>
    <mergeCell ref="B116:F116"/>
    <mergeCell ref="B117:F117"/>
    <mergeCell ref="A119:A122"/>
    <mergeCell ref="B119:F119"/>
    <mergeCell ref="B120:F120"/>
    <mergeCell ref="B121:F121"/>
    <mergeCell ref="B122:F122"/>
    <mergeCell ref="A104:A107"/>
    <mergeCell ref="B104:F104"/>
    <mergeCell ref="B105:F105"/>
    <mergeCell ref="B106:F106"/>
    <mergeCell ref="B107:F107"/>
    <mergeCell ref="A109:A112"/>
    <mergeCell ref="B109:F109"/>
    <mergeCell ref="B110:F110"/>
    <mergeCell ref="B111:F111"/>
    <mergeCell ref="B112:F112"/>
    <mergeCell ref="A94:A97"/>
    <mergeCell ref="B94:F94"/>
    <mergeCell ref="B95:F95"/>
    <mergeCell ref="B96:F96"/>
    <mergeCell ref="B97:F97"/>
    <mergeCell ref="A99:A102"/>
    <mergeCell ref="B99:F99"/>
    <mergeCell ref="B100:F100"/>
    <mergeCell ref="B101:F101"/>
    <mergeCell ref="B102:F102"/>
    <mergeCell ref="A84:A87"/>
    <mergeCell ref="B84:F84"/>
    <mergeCell ref="B85:F85"/>
    <mergeCell ref="B86:F86"/>
    <mergeCell ref="B87:F87"/>
    <mergeCell ref="A89:A92"/>
    <mergeCell ref="B89:F89"/>
    <mergeCell ref="B90:F90"/>
    <mergeCell ref="B91:F91"/>
    <mergeCell ref="B92:F92"/>
    <mergeCell ref="A74:A77"/>
    <mergeCell ref="B74:F74"/>
    <mergeCell ref="B75:F75"/>
    <mergeCell ref="B76:F76"/>
    <mergeCell ref="B77:F77"/>
    <mergeCell ref="A79:A82"/>
    <mergeCell ref="B79:F79"/>
    <mergeCell ref="B80:F80"/>
    <mergeCell ref="B81:F81"/>
    <mergeCell ref="B82:F82"/>
    <mergeCell ref="A64:A67"/>
    <mergeCell ref="B64:F64"/>
    <mergeCell ref="B65:F65"/>
    <mergeCell ref="B66:F66"/>
    <mergeCell ref="B67:F67"/>
    <mergeCell ref="A69:A72"/>
    <mergeCell ref="B69:F69"/>
    <mergeCell ref="B70:F70"/>
    <mergeCell ref="B71:F71"/>
    <mergeCell ref="B72:F72"/>
    <mergeCell ref="A54:A57"/>
    <mergeCell ref="B54:F54"/>
    <mergeCell ref="B55:F55"/>
    <mergeCell ref="B56:F56"/>
    <mergeCell ref="B57:F57"/>
    <mergeCell ref="A59:A62"/>
    <mergeCell ref="B59:F59"/>
    <mergeCell ref="B60:F60"/>
    <mergeCell ref="B61:F61"/>
    <mergeCell ref="B62:F62"/>
    <mergeCell ref="A44:A47"/>
    <mergeCell ref="B44:F44"/>
    <mergeCell ref="B45:F45"/>
    <mergeCell ref="B46:F46"/>
    <mergeCell ref="B47:F47"/>
    <mergeCell ref="A49:A52"/>
    <mergeCell ref="B49:F49"/>
    <mergeCell ref="B50:F50"/>
    <mergeCell ref="B51:F51"/>
    <mergeCell ref="B52:F52"/>
    <mergeCell ref="A34:A37"/>
    <mergeCell ref="B34:F34"/>
    <mergeCell ref="B35:F35"/>
    <mergeCell ref="B36:F36"/>
    <mergeCell ref="B37:F37"/>
    <mergeCell ref="A39:A42"/>
    <mergeCell ref="B39:F39"/>
    <mergeCell ref="B40:F40"/>
    <mergeCell ref="B41:F41"/>
    <mergeCell ref="B42:F42"/>
    <mergeCell ref="A24:A27"/>
    <mergeCell ref="B24:F24"/>
    <mergeCell ref="B25:F25"/>
    <mergeCell ref="B26:F26"/>
    <mergeCell ref="B27:F27"/>
    <mergeCell ref="A29:A32"/>
    <mergeCell ref="B29:F29"/>
    <mergeCell ref="B30:F30"/>
    <mergeCell ref="B31:F31"/>
    <mergeCell ref="B32:F32"/>
    <mergeCell ref="A14:A17"/>
    <mergeCell ref="B14:F14"/>
    <mergeCell ref="B15:F15"/>
    <mergeCell ref="B16:F16"/>
    <mergeCell ref="B17:F17"/>
    <mergeCell ref="A19:A22"/>
    <mergeCell ref="B19:F19"/>
    <mergeCell ref="B20:F20"/>
    <mergeCell ref="B21:F21"/>
    <mergeCell ref="B22:F22"/>
    <mergeCell ref="A4:A7"/>
    <mergeCell ref="B4:F4"/>
    <mergeCell ref="B5:F5"/>
    <mergeCell ref="B6:F6"/>
    <mergeCell ref="B7:F7"/>
    <mergeCell ref="A9:A12"/>
    <mergeCell ref="B9:F9"/>
    <mergeCell ref="B10:F10"/>
    <mergeCell ref="B11:F11"/>
    <mergeCell ref="B12:F12"/>
  </mergeCells>
  <conditionalFormatting sqref="N4:N7 N9:N12 N14:N17 N19:N22 N24:N27 N29:N32 N34:N37 N39:N42 N44:N47 N49:N52 N54:N57 N59:N62 N64:N67 N69:N72 N74:N77 N79:N82 N84:N87 N89:N92 N94:N97 N99:N102 N104:N107 N109:N112 N114:N117 N119:N122 N124:N127 N129:N132 N134:N137 N139:N142 N144:N147 N149:N152 N154">
    <cfRule type="expression" dxfId="229" priority="4">
      <formula>$L4=$N4</formula>
    </cfRule>
    <cfRule type="expression" dxfId="228" priority="5">
      <formula>$L4&gt;$N4</formula>
    </cfRule>
    <cfRule type="expression" dxfId="227" priority="6">
      <formula>$L4&lt;$N4</formula>
    </cfRule>
  </conditionalFormatting>
  <conditionalFormatting sqref="T4:T7 T9:T12 T14:T17 T19:T22 T24:T27 T29:T32 T34:T37 T39:T42 T44:T47 T49:T52 T54:T57 T59:T62 T64:T67 T69:T72 T74:T77 T79:T82 T84:T87 T89:T92 T94:T97 T99:T102 T104:T107 T109:T112 T114:T117 T119:T122 T124:T127 T129:T132 T134:T137 T139:T142 T144:T147 T149:T152 T154">
    <cfRule type="expression" dxfId="226" priority="1">
      <formula>$R4=$T4</formula>
    </cfRule>
    <cfRule type="expression" dxfId="225" priority="2">
      <formula>$R4&gt;$T4</formula>
    </cfRule>
    <cfRule type="expression" dxfId="224" priority="3">
      <formula>$R4&lt;$T4</formula>
    </cfRule>
  </conditionalFormatting>
  <pageMargins left="0.7" right="0.7" top="0.75" bottom="0.75" header="0.3" footer="0.3"/>
  <pageSetup paperSize="9" scale="45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AE160"/>
  <sheetViews>
    <sheetView zoomScale="120" zoomScaleNormal="120" workbookViewId="0">
      <selection activeCell="D2" sqref="D2"/>
    </sheetView>
  </sheetViews>
  <sheetFormatPr defaultRowHeight="15" x14ac:dyDescent="0.25"/>
  <cols>
    <col min="1" max="1" width="33" customWidth="1"/>
    <col min="2" max="2" width="7.85546875" customWidth="1"/>
    <col min="3" max="3" width="14.140625" customWidth="1"/>
    <col min="4" max="4" width="4.140625" customWidth="1"/>
    <col min="5" max="5" width="7.85546875" customWidth="1"/>
    <col min="6" max="6" width="6.140625" customWidth="1"/>
    <col min="7" max="7" width="2.140625" customWidth="1"/>
    <col min="8" max="8" width="10.85546875" style="49" customWidth="1"/>
    <col min="9" max="9" width="2.140625" customWidth="1"/>
    <col min="10" max="10" width="11" style="49" customWidth="1"/>
    <col min="11" max="11" width="2.85546875" customWidth="1"/>
    <col min="12" max="12" width="14.5703125" customWidth="1"/>
    <col min="13" max="13" width="2.140625" customWidth="1"/>
    <col min="14" max="14" width="9.140625" customWidth="1"/>
    <col min="15" max="15" width="2.140625" customWidth="1"/>
    <col min="16" max="16" width="13.42578125" style="49" customWidth="1"/>
    <col min="17" max="17" width="5.85546875" customWidth="1"/>
    <col min="18" max="18" width="20.140625" customWidth="1"/>
    <col min="19" max="19" width="1.140625" customWidth="1"/>
    <col min="20" max="21" width="9.85546875" customWidth="1"/>
    <col min="22" max="29" width="9.140625" customWidth="1"/>
  </cols>
  <sheetData>
    <row r="1" spans="1:31" ht="26.25" customHeight="1" x14ac:dyDescent="0.25">
      <c r="A1" s="8"/>
      <c r="B1" s="9" t="s">
        <v>0</v>
      </c>
      <c r="C1" s="187">
        <v>43982</v>
      </c>
      <c r="D1" s="8"/>
      <c r="E1" s="9" t="s">
        <v>1</v>
      </c>
      <c r="F1" s="65">
        <v>1</v>
      </c>
      <c r="G1" s="8"/>
      <c r="H1" s="47"/>
      <c r="I1" s="10"/>
      <c r="J1" s="47"/>
      <c r="K1" s="10"/>
      <c r="L1" s="11"/>
      <c r="M1" s="10"/>
      <c r="N1" s="11"/>
      <c r="O1" s="8"/>
      <c r="P1" s="46" t="s">
        <v>2</v>
      </c>
      <c r="Q1" s="65">
        <v>0.9</v>
      </c>
      <c r="R1" s="12"/>
      <c r="S1" s="12"/>
      <c r="T1" s="8"/>
      <c r="U1" s="8"/>
      <c r="AC1" t="s">
        <v>3</v>
      </c>
    </row>
    <row r="2" spans="1:31" ht="43.5" customHeight="1" x14ac:dyDescent="0.25">
      <c r="A2" s="13"/>
      <c r="B2" s="13"/>
      <c r="C2" s="13"/>
      <c r="D2" s="13"/>
      <c r="E2" s="13"/>
      <c r="F2" s="13"/>
      <c r="G2" s="13"/>
      <c r="H2" s="17" t="s">
        <v>4</v>
      </c>
      <c r="I2" s="13"/>
      <c r="J2" s="17" t="s">
        <v>5</v>
      </c>
      <c r="K2" s="13"/>
      <c r="L2" s="14" t="s">
        <v>6</v>
      </c>
      <c r="M2" s="13"/>
      <c r="N2" s="14" t="s">
        <v>2</v>
      </c>
      <c r="O2" s="13"/>
      <c r="P2" s="17" t="s">
        <v>7</v>
      </c>
      <c r="Q2" s="13"/>
      <c r="R2" s="13" t="s">
        <v>8</v>
      </c>
      <c r="S2" s="13"/>
      <c r="T2" s="13" t="s">
        <v>2</v>
      </c>
      <c r="U2" s="13"/>
    </row>
    <row r="3" spans="1:31" x14ac:dyDescent="0.25">
      <c r="A3" s="13"/>
      <c r="B3" s="13"/>
      <c r="C3" s="13"/>
      <c r="D3" s="13"/>
      <c r="E3" s="13"/>
      <c r="F3" s="13"/>
      <c r="G3" s="13"/>
      <c r="H3" s="17"/>
      <c r="I3" s="13"/>
      <c r="J3" s="17"/>
      <c r="K3" s="13"/>
      <c r="L3" s="14"/>
      <c r="M3" s="13"/>
      <c r="N3" s="14"/>
      <c r="O3" s="13"/>
      <c r="P3" s="17"/>
      <c r="Q3" s="13"/>
      <c r="R3" s="13"/>
      <c r="S3" s="13"/>
      <c r="T3" s="13"/>
      <c r="U3" s="13"/>
    </row>
    <row r="4" spans="1:31" ht="15.75" x14ac:dyDescent="0.25">
      <c r="A4" s="502" t="s">
        <v>1386</v>
      </c>
      <c r="B4" s="504" t="s">
        <v>10</v>
      </c>
      <c r="C4" s="504"/>
      <c r="D4" s="504"/>
      <c r="E4" s="504"/>
      <c r="F4" s="504"/>
      <c r="G4" s="15"/>
      <c r="H4" s="46" t="e">
        <f>COUNTIFS(tbl_cleaning[Housing Team],"HOUSING WEST TEAM 1",#REF!,"&lt;&gt;NV")</f>
        <v>#REF!</v>
      </c>
      <c r="I4" s="10"/>
      <c r="J4" s="46" t="e" cm="1">
        <f t="array" ref="J4">SUM(COUNTIFS(tbl_cleaning[Housing Team],"HOUSING WEST TEAM 1",#REF!,{"1","2","3","4"}))</f>
        <v>#REF!</v>
      </c>
      <c r="K4" s="10"/>
      <c r="L4" s="16" t="e">
        <f>J4/H4</f>
        <v>#REF!</v>
      </c>
      <c r="M4" s="10"/>
      <c r="N4" s="16">
        <f>$F$1</f>
        <v>1</v>
      </c>
      <c r="O4" s="8"/>
      <c r="P4" s="46" t="e">
        <f>COUNTIFS(tbl_cleaning[Housing Team],"HOUSING WEST TEAM 1",#REF!,3)+COUNTIFS(tbl_cleaning[Housing Team],"HOUSING WEST TEAM 1",#REF!,4)</f>
        <v>#REF!</v>
      </c>
      <c r="Q4" s="10"/>
      <c r="R4" s="16">
        <f t="shared" ref="R4:R7" si="0">IFERROR(P4/J4,0)</f>
        <v>0</v>
      </c>
      <c r="S4" s="10"/>
      <c r="T4" s="40">
        <f>$Q$1</f>
        <v>0.9</v>
      </c>
      <c r="U4" s="13"/>
    </row>
    <row r="5" spans="1:31" ht="15.75" x14ac:dyDescent="0.25">
      <c r="A5" s="502"/>
      <c r="B5" s="504" t="s">
        <v>11</v>
      </c>
      <c r="C5" s="504"/>
      <c r="D5" s="504"/>
      <c r="E5" s="504"/>
      <c r="F5" s="504"/>
      <c r="G5" s="15"/>
      <c r="H5" s="46" t="e">
        <f>COUNTIFS(tbl_cleaning[Housing Team],"HOUSING WEST TEAM 1",#REF!,"&lt;&gt;NV")</f>
        <v>#REF!</v>
      </c>
      <c r="I5" s="10"/>
      <c r="J5" s="46" t="e" cm="1">
        <f t="array" ref="J5">SUM(COUNTIFS(tbl_cleaning[Housing Team],"HOUSING WEST TEAM 1",#REF!,{"1","2","3","4"}))</f>
        <v>#REF!</v>
      </c>
      <c r="K5" s="10"/>
      <c r="L5" s="16" t="e">
        <f>J5/H5</f>
        <v>#REF!</v>
      </c>
      <c r="M5" s="10"/>
      <c r="N5" s="16">
        <f>$F$1</f>
        <v>1</v>
      </c>
      <c r="O5" s="8"/>
      <c r="P5" s="46" t="e">
        <f>COUNTIFS(tbl_cleaning[Housing Team],"HOUSING WEST TEAM 1",#REF!,3)+COUNTIFS(tbl_cleaning[Housing Team],"HOUSING WEST TEAM 1",#REF!,4)</f>
        <v>#REF!</v>
      </c>
      <c r="Q5" s="10"/>
      <c r="R5" s="16">
        <f t="shared" si="0"/>
        <v>0</v>
      </c>
      <c r="S5" s="10"/>
      <c r="T5" s="40">
        <f t="shared" ref="T5:T7" si="1">$Q$1</f>
        <v>0.9</v>
      </c>
      <c r="U5" s="13"/>
    </row>
    <row r="6" spans="1:31" ht="15.75" x14ac:dyDescent="0.25">
      <c r="A6" s="502"/>
      <c r="B6" s="504" t="s">
        <v>12</v>
      </c>
      <c r="C6" s="504"/>
      <c r="D6" s="504"/>
      <c r="E6" s="504"/>
      <c r="F6" s="504"/>
      <c r="G6" s="15"/>
      <c r="H6" s="46" t="e">
        <f>COUNTIFS(#REF!,"HOUSING WEST TEAM 1",#REF!,"&lt;&gt;NV")</f>
        <v>#REF!</v>
      </c>
      <c r="I6" s="10"/>
      <c r="J6" s="46" t="e">
        <f t="array" ref="J6">SUM(COUNTIFS(#REF!,"HOUSING WEST TEAM 1",#REF!,{"1","2","3","4"}))</f>
        <v>#REF!</v>
      </c>
      <c r="K6" s="10"/>
      <c r="L6" s="16" t="e">
        <f>J6/H6</f>
        <v>#REF!</v>
      </c>
      <c r="M6" s="10"/>
      <c r="N6" s="16">
        <f>$F$1</f>
        <v>1</v>
      </c>
      <c r="O6" s="8"/>
      <c r="P6" s="46" t="e">
        <f>COUNTIFS(#REF!,"HOUSING WEST TEAM 1",#REF!,3)+COUNTIFS(#REF!,"HOUSING WEST TEAM 1",#REF!,4)</f>
        <v>#REF!</v>
      </c>
      <c r="Q6" s="10"/>
      <c r="R6" s="16">
        <f t="shared" si="0"/>
        <v>0</v>
      </c>
      <c r="S6" s="10"/>
      <c r="T6" s="40">
        <f t="shared" si="1"/>
        <v>0.9</v>
      </c>
      <c r="U6" s="13"/>
    </row>
    <row r="7" spans="1:31" x14ac:dyDescent="0.25">
      <c r="A7" s="503"/>
      <c r="B7" s="504" t="s">
        <v>13</v>
      </c>
      <c r="C7" s="504"/>
      <c r="D7" s="504"/>
      <c r="E7" s="504"/>
      <c r="F7" s="504"/>
      <c r="G7" s="8"/>
      <c r="H7" s="46" t="e">
        <f>H4+H5+H6</f>
        <v>#REF!</v>
      </c>
      <c r="I7" s="10"/>
      <c r="J7" s="46" t="e">
        <f>SUM(J4:J6)</f>
        <v>#REF!</v>
      </c>
      <c r="K7" s="10"/>
      <c r="L7" s="16" t="e">
        <f>J7/H7</f>
        <v>#REF!</v>
      </c>
      <c r="M7" s="10"/>
      <c r="N7" s="16">
        <f>$F$1</f>
        <v>1</v>
      </c>
      <c r="O7" s="8"/>
      <c r="P7" s="46" t="e">
        <f>SUM(P4:P6)</f>
        <v>#REF!</v>
      </c>
      <c r="Q7" s="10"/>
      <c r="R7" s="16">
        <f t="shared" si="0"/>
        <v>0</v>
      </c>
      <c r="S7" s="10"/>
      <c r="T7" s="40">
        <f t="shared" si="1"/>
        <v>0.9</v>
      </c>
      <c r="U7" s="13"/>
    </row>
    <row r="8" spans="1:31" x14ac:dyDescent="0.25">
      <c r="H8"/>
      <c r="J8"/>
      <c r="P8"/>
    </row>
    <row r="9" spans="1:31" ht="15.75" x14ac:dyDescent="0.25">
      <c r="A9" s="502" t="s">
        <v>1385</v>
      </c>
      <c r="B9" s="504" t="s">
        <v>10</v>
      </c>
      <c r="C9" s="504"/>
      <c r="D9" s="504"/>
      <c r="E9" s="504"/>
      <c r="F9" s="504"/>
      <c r="G9" s="15"/>
      <c r="H9" s="46" t="e">
        <f>COUNTIFS(tbl_cleaning[Housing Team],"HOUSING WEST TEAM 2",#REF!,"&lt;&gt;NV")</f>
        <v>#REF!</v>
      </c>
      <c r="I9" s="10"/>
      <c r="J9" s="46" t="e" cm="1">
        <f t="array" ref="J9">SUM(COUNTIFS(tbl_cleaning[Housing Team],"HOUSING WEST TEAM 2",#REF!,{"1","2","3","4"}))</f>
        <v>#REF!</v>
      </c>
      <c r="K9" s="10"/>
      <c r="L9" s="16" t="e">
        <f>J9/H9</f>
        <v>#REF!</v>
      </c>
      <c r="M9" s="10"/>
      <c r="N9" s="16">
        <f>$F$1</f>
        <v>1</v>
      </c>
      <c r="O9" s="8"/>
      <c r="P9" s="46" t="e">
        <f>COUNTIFS(tbl_cleaning[Housing Team],"HOUSING WEST TEAM 2",#REF!,3)+COUNTIFS(tbl_cleaning[Housing Team],"HOUSING WEST TEAM 2",#REF!,4)</f>
        <v>#REF!</v>
      </c>
      <c r="Q9" s="10"/>
      <c r="R9" s="16">
        <f t="shared" ref="R9:R12" si="2">IFERROR(P9/J9,0)</f>
        <v>0</v>
      </c>
      <c r="S9" s="10"/>
      <c r="T9" s="40">
        <f t="shared" ref="T9:T12" si="3">$Q$1</f>
        <v>0.9</v>
      </c>
      <c r="U9" s="8"/>
    </row>
    <row r="10" spans="1:31" ht="15.75" x14ac:dyDescent="0.25">
      <c r="A10" s="502"/>
      <c r="B10" s="504" t="s">
        <v>11</v>
      </c>
      <c r="C10" s="504"/>
      <c r="D10" s="504"/>
      <c r="E10" s="504"/>
      <c r="F10" s="504"/>
      <c r="G10" s="15"/>
      <c r="H10" s="46" t="e">
        <f>COUNTIFS(tbl_cleaning[Housing Team],"HOUSING WEST TEAM 2",#REF!,"&lt;&gt;NV")</f>
        <v>#REF!</v>
      </c>
      <c r="I10" s="10"/>
      <c r="J10" s="46" t="e" cm="1">
        <f t="array" ref="J10">SUM(COUNTIFS(tbl_cleaning[Housing Team],"HOUSING WEST TEAM 2",#REF!,{"1","2","3","4"}))</f>
        <v>#REF!</v>
      </c>
      <c r="K10" s="10"/>
      <c r="L10" s="16" t="e">
        <f>J10/H10</f>
        <v>#REF!</v>
      </c>
      <c r="M10" s="10"/>
      <c r="N10" s="16">
        <f>$F$1</f>
        <v>1</v>
      </c>
      <c r="O10" s="8"/>
      <c r="P10" s="46" t="e">
        <f>COUNTIFS(tbl_cleaning[Housing Team],"HOUSING WEST TEAM 2",#REF!,3)+COUNTIFS(tbl_cleaning[Housing Team],"HOUSING WEST TEAM 2",#REF!,4)</f>
        <v>#REF!</v>
      </c>
      <c r="Q10" s="10"/>
      <c r="R10" s="16">
        <f t="shared" si="2"/>
        <v>0</v>
      </c>
      <c r="S10" s="10"/>
      <c r="T10" s="40">
        <f t="shared" si="3"/>
        <v>0.9</v>
      </c>
      <c r="U10" s="8"/>
      <c r="AE10" t="s">
        <v>3</v>
      </c>
    </row>
    <row r="11" spans="1:31" ht="15.75" x14ac:dyDescent="0.25">
      <c r="A11" s="502"/>
      <c r="B11" s="504" t="s">
        <v>12</v>
      </c>
      <c r="C11" s="504"/>
      <c r="D11" s="504"/>
      <c r="E11" s="504"/>
      <c r="F11" s="504"/>
      <c r="G11" s="15"/>
      <c r="H11" s="46" t="e">
        <f>COUNTIFS(#REF!,"HOUSING WEST TEAM 2",#REF!,"&lt;&gt;NV")</f>
        <v>#REF!</v>
      </c>
      <c r="I11" s="10"/>
      <c r="J11" s="46" t="e">
        <f t="array" ref="J11">SUM(COUNTIFS(#REF!,"HOUSING WEST TEAM 2",#REF!,{"1","2","3","4"}))</f>
        <v>#REF!</v>
      </c>
      <c r="K11" s="10"/>
      <c r="L11" s="16" t="e">
        <f>J11/H11</f>
        <v>#REF!</v>
      </c>
      <c r="M11" s="10"/>
      <c r="N11" s="16">
        <f>$F$1</f>
        <v>1</v>
      </c>
      <c r="O11" s="8"/>
      <c r="P11" s="46" t="e">
        <f>COUNTIFS(#REF!,"HOUSING WEST TEAM 2",#REF!,3)+COUNTIFS(#REF!,"HOUSING WEST TEAM 2",#REF!,4)</f>
        <v>#REF!</v>
      </c>
      <c r="Q11" s="10"/>
      <c r="R11" s="16">
        <f t="shared" si="2"/>
        <v>0</v>
      </c>
      <c r="S11" s="10"/>
      <c r="T11" s="40">
        <f t="shared" si="3"/>
        <v>0.9</v>
      </c>
      <c r="U11" s="8"/>
    </row>
    <row r="12" spans="1:31" x14ac:dyDescent="0.25">
      <c r="A12" s="503"/>
      <c r="B12" s="504" t="s">
        <v>13</v>
      </c>
      <c r="C12" s="504"/>
      <c r="D12" s="504"/>
      <c r="E12" s="504"/>
      <c r="F12" s="504"/>
      <c r="G12" s="8"/>
      <c r="H12" s="46" t="e">
        <f>H9+H10+H11</f>
        <v>#REF!</v>
      </c>
      <c r="I12" s="10"/>
      <c r="J12" s="46" t="e">
        <f>SUM(J9:J11)</f>
        <v>#REF!</v>
      </c>
      <c r="K12" s="10"/>
      <c r="L12" s="16" t="e">
        <f>J12/H12</f>
        <v>#REF!</v>
      </c>
      <c r="M12" s="10"/>
      <c r="N12" s="16">
        <f>$F$1</f>
        <v>1</v>
      </c>
      <c r="O12" s="8"/>
      <c r="P12" s="46" t="e">
        <f>SUM(P9:P11)</f>
        <v>#REF!</v>
      </c>
      <c r="Q12" s="10"/>
      <c r="R12" s="16">
        <f t="shared" si="2"/>
        <v>0</v>
      </c>
      <c r="S12" s="10"/>
      <c r="T12" s="40">
        <f t="shared" si="3"/>
        <v>0.9</v>
      </c>
      <c r="U12" s="8"/>
    </row>
    <row r="13" spans="1:31" x14ac:dyDescent="0.25">
      <c r="H13"/>
      <c r="J13"/>
      <c r="P13"/>
    </row>
    <row r="14" spans="1:31" ht="15.75" x14ac:dyDescent="0.25">
      <c r="A14" s="505" t="s">
        <v>1371</v>
      </c>
      <c r="B14" s="504" t="s">
        <v>10</v>
      </c>
      <c r="C14" s="504"/>
      <c r="D14" s="504"/>
      <c r="E14" s="504"/>
      <c r="F14" s="504"/>
      <c r="G14" s="15"/>
      <c r="H14" s="46" t="e">
        <f>COUNTIFS(tbl_cleaning[Housing Team],"HOUSING SOUTH TEAM 3",#REF!,"&lt;&gt;NV")</f>
        <v>#REF!</v>
      </c>
      <c r="I14" s="10"/>
      <c r="J14" s="46" t="e" cm="1">
        <f t="array" ref="J14">SUM(COUNTIFS(tbl_cleaning[Housing Team],"HOUSING SOUTH TEAM 3",#REF!,{"1","2","3","4"}))</f>
        <v>#REF!</v>
      </c>
      <c r="K14" s="10"/>
      <c r="L14" s="16" t="e">
        <f>J14/H14</f>
        <v>#REF!</v>
      </c>
      <c r="M14" s="10"/>
      <c r="N14" s="16">
        <f>$F$1</f>
        <v>1</v>
      </c>
      <c r="O14" s="8"/>
      <c r="P14" s="46" t="e">
        <f>COUNTIFS(tbl_cleaning[Housing Team],"HOUSING SOUTH TEAM 3",#REF!,3)+COUNTIFS(tbl_cleaning[Housing Team],"HOUSING SOUTH TEAM 3",#REF!,4)</f>
        <v>#REF!</v>
      </c>
      <c r="Q14" s="10"/>
      <c r="R14" s="16">
        <f t="shared" ref="R14:R17" si="4">IFERROR(P14/J14,0)</f>
        <v>0</v>
      </c>
      <c r="S14" s="10"/>
      <c r="T14" s="40">
        <f t="shared" ref="T14:T17" si="5">$Q$1</f>
        <v>0.9</v>
      </c>
      <c r="U14" s="8"/>
    </row>
    <row r="15" spans="1:31" ht="15.75" x14ac:dyDescent="0.25">
      <c r="A15" s="505"/>
      <c r="B15" s="504" t="s">
        <v>11</v>
      </c>
      <c r="C15" s="504"/>
      <c r="D15" s="504"/>
      <c r="E15" s="504"/>
      <c r="F15" s="504"/>
      <c r="G15" s="15"/>
      <c r="H15" s="46" t="e">
        <f>COUNTIFS(tbl_cleaning[Housing Team],"HOUSING SOUTH TEAM 3",#REF!,"&lt;&gt;NV")</f>
        <v>#REF!</v>
      </c>
      <c r="I15" s="10"/>
      <c r="J15" s="46" t="e" cm="1">
        <f t="array" ref="J15">SUM(COUNTIFS(tbl_cleaning[Housing Team],"HOUSING SOUTH TEAM 3",#REF!,{"1","2","3","4"}))</f>
        <v>#REF!</v>
      </c>
      <c r="K15" s="10"/>
      <c r="L15" s="16" t="e">
        <f>J15/H15</f>
        <v>#REF!</v>
      </c>
      <c r="M15" s="10"/>
      <c r="N15" s="16">
        <f>$F$1</f>
        <v>1</v>
      </c>
      <c r="O15" s="8"/>
      <c r="P15" s="46" t="e">
        <f>COUNTIFS(tbl_cleaning[Housing Team],"HOUSING SOUTH TEAM 3",#REF!,3)+COUNTIFS(tbl_cleaning[Housing Team],"HOUSING SOUTH TEAM 3",#REF!,4)</f>
        <v>#REF!</v>
      </c>
      <c r="Q15" s="10"/>
      <c r="R15" s="16">
        <f t="shared" si="4"/>
        <v>0</v>
      </c>
      <c r="S15" s="10"/>
      <c r="T15" s="40">
        <f t="shared" si="5"/>
        <v>0.9</v>
      </c>
      <c r="U15" s="8"/>
    </row>
    <row r="16" spans="1:31" ht="15.75" x14ac:dyDescent="0.25">
      <c r="A16" s="505"/>
      <c r="B16" s="504" t="s">
        <v>12</v>
      </c>
      <c r="C16" s="504"/>
      <c r="D16" s="504"/>
      <c r="E16" s="504"/>
      <c r="F16" s="504"/>
      <c r="G16" s="15"/>
      <c r="H16" s="46" t="e">
        <f>COUNTIFS(#REF!,"HOUSING SOUTH TEAM 3",#REF!,"&lt;&gt;NV")</f>
        <v>#REF!</v>
      </c>
      <c r="I16" s="10"/>
      <c r="J16" s="46" t="e">
        <f t="array" ref="J16">SUM(COUNTIFS(#REF!,"HOUSING SOUTH TEAM 3",#REF!,{"1","2","3","4"}))</f>
        <v>#REF!</v>
      </c>
      <c r="K16" s="10"/>
      <c r="L16" s="16" t="e">
        <f>J16/H16</f>
        <v>#REF!</v>
      </c>
      <c r="M16" s="10"/>
      <c r="N16" s="16">
        <f>$F$1</f>
        <v>1</v>
      </c>
      <c r="O16" s="8"/>
      <c r="P16" s="46" t="e">
        <f>COUNTIFS(#REF!,"HOUSING SOUTH TEAM 3",#REF!,3)+COUNTIFS(#REF!,"HOUSING SOUTH TEAM 3",#REF!,4)</f>
        <v>#REF!</v>
      </c>
      <c r="Q16" s="10"/>
      <c r="R16" s="16">
        <f t="shared" si="4"/>
        <v>0</v>
      </c>
      <c r="S16" s="10"/>
      <c r="T16" s="40">
        <f t="shared" si="5"/>
        <v>0.9</v>
      </c>
      <c r="U16" s="8"/>
    </row>
    <row r="17" spans="1:21" x14ac:dyDescent="0.25">
      <c r="A17" s="506"/>
      <c r="B17" s="504" t="s">
        <v>13</v>
      </c>
      <c r="C17" s="504"/>
      <c r="D17" s="504"/>
      <c r="E17" s="504"/>
      <c r="F17" s="504"/>
      <c r="G17" s="8"/>
      <c r="H17" s="46" t="e">
        <f>H14+H15+H16</f>
        <v>#REF!</v>
      </c>
      <c r="I17" s="10"/>
      <c r="J17" s="46" t="e">
        <f>SUM(J14:J16)</f>
        <v>#REF!</v>
      </c>
      <c r="K17" s="10"/>
      <c r="L17" s="16" t="e">
        <f>J17/H17</f>
        <v>#REF!</v>
      </c>
      <c r="M17" s="10"/>
      <c r="N17" s="16">
        <f>$F$1</f>
        <v>1</v>
      </c>
      <c r="O17" s="8"/>
      <c r="P17" s="46" t="e">
        <f>SUM(P14:P16)</f>
        <v>#REF!</v>
      </c>
      <c r="Q17" s="10"/>
      <c r="R17" s="16">
        <f t="shared" si="4"/>
        <v>0</v>
      </c>
      <c r="S17" s="10"/>
      <c r="T17" s="40">
        <f t="shared" si="5"/>
        <v>0.9</v>
      </c>
      <c r="U17" s="8"/>
    </row>
    <row r="18" spans="1:21" x14ac:dyDescent="0.25">
      <c r="H18"/>
      <c r="J18"/>
      <c r="P18"/>
    </row>
    <row r="19" spans="1:21" ht="15.75" x14ac:dyDescent="0.25">
      <c r="A19" s="502" t="s">
        <v>1382</v>
      </c>
      <c r="B19" s="504" t="s">
        <v>10</v>
      </c>
      <c r="C19" s="504"/>
      <c r="D19" s="504"/>
      <c r="E19" s="504"/>
      <c r="F19" s="504"/>
      <c r="G19" s="15"/>
      <c r="H19" s="46" t="e">
        <f>COUNTIFS(tbl_cleaning[Housing Team],"HOUSING WEST TEAM 4",#REF!,"&lt;&gt;NV")</f>
        <v>#REF!</v>
      </c>
      <c r="I19" s="10"/>
      <c r="J19" s="46" t="e" cm="1">
        <f t="array" ref="J19">SUM(COUNTIFS(tbl_cleaning[Housing Team],"HOUSING WEST TEAM 4",#REF!,{"1","2","3","4"}))</f>
        <v>#REF!</v>
      </c>
      <c r="K19" s="10"/>
      <c r="L19" s="16" t="e">
        <f>J19/H19</f>
        <v>#REF!</v>
      </c>
      <c r="M19" s="10"/>
      <c r="N19" s="16">
        <f>$F$1</f>
        <v>1</v>
      </c>
      <c r="O19" s="8"/>
      <c r="P19" s="46" t="e">
        <f>COUNTIFS(tbl_cleaning[Housing Team],"HOUSING WEST TEAM 4",#REF!,3)+COUNTIFS(tbl_cleaning[Housing Team],"HOUSING WEST TEAM 4",#REF!,4)</f>
        <v>#REF!</v>
      </c>
      <c r="Q19" s="10"/>
      <c r="R19" s="16">
        <f t="shared" ref="R19:R22" si="6">IFERROR(P19/J19,0)</f>
        <v>0</v>
      </c>
      <c r="S19" s="10"/>
      <c r="T19" s="40">
        <f t="shared" ref="T19:T22" si="7">$Q$1</f>
        <v>0.9</v>
      </c>
      <c r="U19" s="8"/>
    </row>
    <row r="20" spans="1:21" ht="15.75" x14ac:dyDescent="0.25">
      <c r="A20" s="502"/>
      <c r="B20" s="504" t="s">
        <v>11</v>
      </c>
      <c r="C20" s="504"/>
      <c r="D20" s="504"/>
      <c r="E20" s="504"/>
      <c r="F20" s="504"/>
      <c r="G20" s="15"/>
      <c r="H20" s="46" t="e">
        <f>COUNTIFS(tbl_cleaning[Housing Team],"HOUSING WEST TEAM 4",#REF!,"&lt;&gt;NV")</f>
        <v>#REF!</v>
      </c>
      <c r="I20" s="10"/>
      <c r="J20" s="46" t="e" cm="1">
        <f t="array" ref="J20">SUM(COUNTIFS(tbl_cleaning[Housing Team],"HOUSING WEST TEAM 4",#REF!,{"1","2","3","4"}))</f>
        <v>#REF!</v>
      </c>
      <c r="K20" s="10"/>
      <c r="L20" s="16" t="e">
        <f>J20/H20</f>
        <v>#REF!</v>
      </c>
      <c r="M20" s="10"/>
      <c r="N20" s="16">
        <f>$F$1</f>
        <v>1</v>
      </c>
      <c r="O20" s="8"/>
      <c r="P20" s="46" t="e">
        <f>COUNTIFS(tbl_cleaning[Housing Team],"HOUSING WEST TEAM 4",#REF!,3)+COUNTIFS(tbl_cleaning[Housing Team],"HOUSING WEST TEAM 4",#REF!,4)</f>
        <v>#REF!</v>
      </c>
      <c r="Q20" s="10"/>
      <c r="R20" s="16">
        <f t="shared" si="6"/>
        <v>0</v>
      </c>
      <c r="S20" s="10"/>
      <c r="T20" s="40">
        <f t="shared" si="7"/>
        <v>0.9</v>
      </c>
      <c r="U20" s="8"/>
    </row>
    <row r="21" spans="1:21" ht="15.75" x14ac:dyDescent="0.25">
      <c r="A21" s="502"/>
      <c r="B21" s="504" t="s">
        <v>12</v>
      </c>
      <c r="C21" s="504"/>
      <c r="D21" s="504"/>
      <c r="E21" s="504"/>
      <c r="F21" s="504"/>
      <c r="G21" s="15"/>
      <c r="H21" s="46" t="e">
        <f>COUNTIFS(#REF!,"HOUSING WEST TEAM 4",#REF!,"&lt;&gt;NV")</f>
        <v>#REF!</v>
      </c>
      <c r="I21" s="10"/>
      <c r="J21" s="46" t="e">
        <f t="array" ref="J21">SUM(COUNTIFS(#REF!,"HOUSING WEST TEAM 4",#REF!,{"1","2","3","4"}))</f>
        <v>#REF!</v>
      </c>
      <c r="K21" s="10"/>
      <c r="L21" s="16" t="e">
        <f>J21/H21</f>
        <v>#REF!</v>
      </c>
      <c r="M21" s="10"/>
      <c r="N21" s="16">
        <f>$F$1</f>
        <v>1</v>
      </c>
      <c r="O21" s="8"/>
      <c r="P21" s="46" t="e">
        <f>COUNTIFS(#REF!,"HOUSING WEST TEAM 4",#REF!,3)+COUNTIFS(#REF!,"HOUSING WEST TEAM 4",#REF!,4)</f>
        <v>#REF!</v>
      </c>
      <c r="Q21" s="10"/>
      <c r="R21" s="16">
        <f t="shared" si="6"/>
        <v>0</v>
      </c>
      <c r="S21" s="10"/>
      <c r="T21" s="40">
        <f t="shared" si="7"/>
        <v>0.9</v>
      </c>
      <c r="U21" s="8"/>
    </row>
    <row r="22" spans="1:21" x14ac:dyDescent="0.25">
      <c r="A22" s="503"/>
      <c r="B22" s="504" t="s">
        <v>13</v>
      </c>
      <c r="C22" s="504"/>
      <c r="D22" s="504"/>
      <c r="E22" s="504"/>
      <c r="F22" s="504"/>
      <c r="G22" s="8"/>
      <c r="H22" s="46" t="e">
        <f>H19+H20+H21</f>
        <v>#REF!</v>
      </c>
      <c r="I22" s="10"/>
      <c r="J22" s="46" t="e">
        <f>SUM(J19:J21)</f>
        <v>#REF!</v>
      </c>
      <c r="K22" s="10"/>
      <c r="L22" s="16" t="e">
        <f>J22/H22</f>
        <v>#REF!</v>
      </c>
      <c r="M22" s="10"/>
      <c r="N22" s="16">
        <f>$F$1</f>
        <v>1</v>
      </c>
      <c r="O22" s="8"/>
      <c r="P22" s="46" t="e">
        <f>SUM(P19:P21)</f>
        <v>#REF!</v>
      </c>
      <c r="Q22" s="10"/>
      <c r="R22" s="16">
        <f t="shared" si="6"/>
        <v>0</v>
      </c>
      <c r="S22" s="10"/>
      <c r="T22" s="40">
        <f t="shared" si="7"/>
        <v>0.9</v>
      </c>
      <c r="U22" s="8"/>
    </row>
    <row r="23" spans="1:21" x14ac:dyDescent="0.25">
      <c r="H23"/>
      <c r="J23"/>
      <c r="P23"/>
    </row>
    <row r="24" spans="1:21" ht="15.75" x14ac:dyDescent="0.25">
      <c r="A24" s="502" t="s">
        <v>1388</v>
      </c>
      <c r="B24" s="504" t="s">
        <v>10</v>
      </c>
      <c r="C24" s="504"/>
      <c r="D24" s="504"/>
      <c r="E24" s="504"/>
      <c r="F24" s="504"/>
      <c r="G24" s="15"/>
      <c r="H24" s="46" t="e">
        <f>COUNTIFS(tbl_cleaning[Housing Team],"HOUSING WEST TEAM 5",#REF!,"&lt;&gt;NV")</f>
        <v>#REF!</v>
      </c>
      <c r="I24" s="10"/>
      <c r="J24" s="46" t="e" cm="1">
        <f t="array" ref="J24">SUM(COUNTIFS(tbl_cleaning[Housing Team],"HOUSING WEST TEAM 5",#REF!,{"1","2","3","4"}))</f>
        <v>#REF!</v>
      </c>
      <c r="K24" s="10"/>
      <c r="L24" s="16" t="e">
        <f>J24/H24</f>
        <v>#REF!</v>
      </c>
      <c r="M24" s="10"/>
      <c r="N24" s="16">
        <f>$F$1</f>
        <v>1</v>
      </c>
      <c r="O24" s="8"/>
      <c r="P24" s="46" t="e">
        <f>COUNTIFS(tbl_cleaning[Housing Team],"HOUSING WEST TEAM 5",#REF!,3)+COUNTIFS(tbl_cleaning[Housing Team],"HOUSING WEST TEAM 5",#REF!,4)</f>
        <v>#REF!</v>
      </c>
      <c r="Q24" s="10"/>
      <c r="R24" s="16">
        <f t="shared" ref="R24:R27" si="8">IFERROR(P24/J24,0)</f>
        <v>0</v>
      </c>
      <c r="S24" s="10"/>
      <c r="T24" s="40">
        <f t="shared" ref="T24:T27" si="9">$Q$1</f>
        <v>0.9</v>
      </c>
      <c r="U24" s="8"/>
    </row>
    <row r="25" spans="1:21" ht="15.75" x14ac:dyDescent="0.25">
      <c r="A25" s="502"/>
      <c r="B25" s="504" t="s">
        <v>11</v>
      </c>
      <c r="C25" s="504"/>
      <c r="D25" s="504"/>
      <c r="E25" s="504"/>
      <c r="F25" s="504"/>
      <c r="G25" s="15"/>
      <c r="H25" s="46" t="e">
        <f>COUNTIFS(tbl_cleaning[Housing Team],"HOUSING WEST TEAM 5",#REF!,"&lt;&gt;NV")</f>
        <v>#REF!</v>
      </c>
      <c r="I25" s="10"/>
      <c r="J25" s="46" t="e" cm="1">
        <f t="array" ref="J25">SUM(COUNTIFS(tbl_cleaning[Housing Team],"HOUSING WEST TEAM 5",#REF!,{"1","2","3","4"}))</f>
        <v>#REF!</v>
      </c>
      <c r="K25" s="10"/>
      <c r="L25" s="16" t="e">
        <f>J25/H25</f>
        <v>#REF!</v>
      </c>
      <c r="M25" s="10"/>
      <c r="N25" s="16">
        <f>$F$1</f>
        <v>1</v>
      </c>
      <c r="O25" s="8"/>
      <c r="P25" s="46" t="e">
        <f>COUNTIFS(tbl_cleaning[Housing Team],"HOUSING WEST TEAM 5",#REF!,3)+COUNTIFS(tbl_cleaning[Housing Team],"HOUSING WEST TEAM 5",#REF!,4)</f>
        <v>#REF!</v>
      </c>
      <c r="Q25" s="10"/>
      <c r="R25" s="16">
        <f t="shared" si="8"/>
        <v>0</v>
      </c>
      <c r="S25" s="10"/>
      <c r="T25" s="40">
        <f t="shared" si="9"/>
        <v>0.9</v>
      </c>
      <c r="U25" s="8"/>
    </row>
    <row r="26" spans="1:21" ht="15.75" x14ac:dyDescent="0.25">
      <c r="A26" s="502"/>
      <c r="B26" s="504" t="s">
        <v>12</v>
      </c>
      <c r="C26" s="504"/>
      <c r="D26" s="504"/>
      <c r="E26" s="504"/>
      <c r="F26" s="504"/>
      <c r="G26" s="15"/>
      <c r="H26" s="46" t="e">
        <f>COUNTIFS(#REF!,"HOUSING WEST TEAM 5",#REF!,"&lt;&gt;NV")</f>
        <v>#REF!</v>
      </c>
      <c r="I26" s="10"/>
      <c r="J26" s="46" t="e">
        <f t="array" ref="J26">SUM(COUNTIFS(#REF!,"HOUSING WEST TEAM 5",#REF!,{"1","2","3","4"}))</f>
        <v>#REF!</v>
      </c>
      <c r="K26" s="10"/>
      <c r="L26" s="16" t="e">
        <f>J26/H26</f>
        <v>#REF!</v>
      </c>
      <c r="M26" s="10"/>
      <c r="N26" s="16">
        <f>$F$1</f>
        <v>1</v>
      </c>
      <c r="O26" s="8"/>
      <c r="P26" s="46" t="e">
        <f>COUNTIFS(#REF!,"HOUSING WEST TEAM 5",#REF!,3)+COUNTIFS(#REF!,"HOUSING WEST TEAM 5",#REF!,4)</f>
        <v>#REF!</v>
      </c>
      <c r="Q26" s="10"/>
      <c r="R26" s="16">
        <f t="shared" si="8"/>
        <v>0</v>
      </c>
      <c r="S26" s="10"/>
      <c r="T26" s="40">
        <f t="shared" si="9"/>
        <v>0.9</v>
      </c>
      <c r="U26" s="8"/>
    </row>
    <row r="27" spans="1:21" x14ac:dyDescent="0.25">
      <c r="A27" s="503"/>
      <c r="B27" s="504" t="s">
        <v>13</v>
      </c>
      <c r="C27" s="504"/>
      <c r="D27" s="504"/>
      <c r="E27" s="504"/>
      <c r="F27" s="504"/>
      <c r="G27" s="8"/>
      <c r="H27" s="46" t="e">
        <f>H24+H25+H26</f>
        <v>#REF!</v>
      </c>
      <c r="I27" s="10"/>
      <c r="J27" s="46" t="e">
        <f>SUM(J24:J26)</f>
        <v>#REF!</v>
      </c>
      <c r="K27" s="10"/>
      <c r="L27" s="16" t="e">
        <f>J27/H27</f>
        <v>#REF!</v>
      </c>
      <c r="M27" s="10"/>
      <c r="N27" s="16">
        <f>$F$1</f>
        <v>1</v>
      </c>
      <c r="O27" s="8"/>
      <c r="P27" s="46" t="e">
        <f>SUM(P24:P26)</f>
        <v>#REF!</v>
      </c>
      <c r="Q27" s="10"/>
      <c r="R27" s="16">
        <f t="shared" si="8"/>
        <v>0</v>
      </c>
      <c r="S27" s="10"/>
      <c r="T27" s="40">
        <f t="shared" si="9"/>
        <v>0.9</v>
      </c>
      <c r="U27" s="8"/>
    </row>
    <row r="28" spans="1:21" x14ac:dyDescent="0.25">
      <c r="H28"/>
      <c r="J28"/>
      <c r="P28"/>
    </row>
    <row r="29" spans="1:21" ht="15.75" x14ac:dyDescent="0.25">
      <c r="A29" s="502" t="s">
        <v>1387</v>
      </c>
      <c r="B29" s="504" t="s">
        <v>10</v>
      </c>
      <c r="C29" s="504"/>
      <c r="D29" s="504"/>
      <c r="E29" s="504"/>
      <c r="F29" s="504"/>
      <c r="G29" s="15"/>
      <c r="H29" s="46" t="e">
        <f>COUNTIFS(tbl_cleaning[Housing Team],"HOUSING WEST TEAM 6",#REF!,"&lt;&gt;NV")</f>
        <v>#REF!</v>
      </c>
      <c r="I29" s="10"/>
      <c r="J29" s="46" t="e" cm="1">
        <f t="array" ref="J29">SUM(COUNTIFS(tbl_cleaning[Housing Team],"HOUSING WEST TEAM 6",#REF!,{"1","2","3","4"}))</f>
        <v>#REF!</v>
      </c>
      <c r="K29" s="10"/>
      <c r="L29" s="16" t="e">
        <f>J29/H29</f>
        <v>#REF!</v>
      </c>
      <c r="M29" s="10"/>
      <c r="N29" s="16">
        <f>$F$1</f>
        <v>1</v>
      </c>
      <c r="O29" s="8"/>
      <c r="P29" s="46" t="e">
        <f>COUNTIFS(tbl_cleaning[Housing Team],"HOUSING WEST TEAM 6",#REF!,3)+COUNTIFS(tbl_cleaning[Housing Team],"HOUSING WEST TEAM 6",#REF!,4)</f>
        <v>#REF!</v>
      </c>
      <c r="Q29" s="10"/>
      <c r="R29" s="16">
        <f t="shared" ref="R29:R32" si="10">IFERROR(P29/J29,0)</f>
        <v>0</v>
      </c>
      <c r="S29" s="10"/>
      <c r="T29" s="40">
        <f t="shared" ref="T29:T32" si="11">$Q$1</f>
        <v>0.9</v>
      </c>
      <c r="U29" s="8"/>
    </row>
    <row r="30" spans="1:21" ht="15.75" x14ac:dyDescent="0.25">
      <c r="A30" s="502"/>
      <c r="B30" s="504" t="s">
        <v>11</v>
      </c>
      <c r="C30" s="504"/>
      <c r="D30" s="504"/>
      <c r="E30" s="504"/>
      <c r="F30" s="504"/>
      <c r="G30" s="15"/>
      <c r="H30" s="46" t="e">
        <f>COUNTIFS(tbl_cleaning[Housing Team],"HOUSING WEST TEAM 6",#REF!,"&lt;&gt;NV")</f>
        <v>#REF!</v>
      </c>
      <c r="I30" s="10"/>
      <c r="J30" s="46" t="e" cm="1">
        <f t="array" ref="J30">SUM(COUNTIFS(tbl_cleaning[Housing Team],"HOUSING WEST TEAM 6",#REF!,{"1","2","3","4"}))</f>
        <v>#REF!</v>
      </c>
      <c r="K30" s="10"/>
      <c r="L30" s="16" t="e">
        <f>J30/H30</f>
        <v>#REF!</v>
      </c>
      <c r="M30" s="10"/>
      <c r="N30" s="16">
        <f>$F$1</f>
        <v>1</v>
      </c>
      <c r="O30" s="8"/>
      <c r="P30" s="46" t="e">
        <f>COUNTIFS(tbl_cleaning[Housing Team],"HOUSING WEST TEAM 6",#REF!,3)+COUNTIFS(tbl_cleaning[Housing Team],"HOUSING WEST TEAM 6",#REF!,4)</f>
        <v>#REF!</v>
      </c>
      <c r="Q30" s="10"/>
      <c r="R30" s="16">
        <f t="shared" si="10"/>
        <v>0</v>
      </c>
      <c r="S30" s="10"/>
      <c r="T30" s="40">
        <f t="shared" si="11"/>
        <v>0.9</v>
      </c>
      <c r="U30" s="8"/>
    </row>
    <row r="31" spans="1:21" ht="15.75" x14ac:dyDescent="0.25">
      <c r="A31" s="502"/>
      <c r="B31" s="504" t="s">
        <v>12</v>
      </c>
      <c r="C31" s="504"/>
      <c r="D31" s="504"/>
      <c r="E31" s="504"/>
      <c r="F31" s="504"/>
      <c r="G31" s="15"/>
      <c r="H31" s="46" t="e">
        <f>COUNTIFS(#REF!,"HOUSING WEST TEAM 6",#REF!,"&lt;&gt;NV")</f>
        <v>#REF!</v>
      </c>
      <c r="I31" s="10"/>
      <c r="J31" s="46" t="e">
        <f t="array" ref="J31">SUM(COUNTIFS(#REF!,"HOUSING WEST TEAM 6",#REF!,{"1","2","3","4"}))</f>
        <v>#REF!</v>
      </c>
      <c r="K31" s="10"/>
      <c r="L31" s="16" t="e">
        <f>J31/H31</f>
        <v>#REF!</v>
      </c>
      <c r="M31" s="10"/>
      <c r="N31" s="16">
        <f>$F$1</f>
        <v>1</v>
      </c>
      <c r="O31" s="8"/>
      <c r="P31" s="46" t="e">
        <f>COUNTIFS(#REF!,"HOUSING WEST TEAM 6",#REF!,3)+COUNTIFS(#REF!,"HOUSING WEST TEAM 6",#REF!,4)</f>
        <v>#REF!</v>
      </c>
      <c r="Q31" s="10"/>
      <c r="R31" s="16">
        <f t="shared" si="10"/>
        <v>0</v>
      </c>
      <c r="S31" s="10"/>
      <c r="T31" s="40">
        <f t="shared" si="11"/>
        <v>0.9</v>
      </c>
      <c r="U31" s="8"/>
    </row>
    <row r="32" spans="1:21" x14ac:dyDescent="0.25">
      <c r="A32" s="503"/>
      <c r="B32" s="504" t="s">
        <v>13</v>
      </c>
      <c r="C32" s="504"/>
      <c r="D32" s="504"/>
      <c r="E32" s="504"/>
      <c r="F32" s="504"/>
      <c r="G32" s="8"/>
      <c r="H32" s="46" t="e">
        <f>H29+H30+H31</f>
        <v>#REF!</v>
      </c>
      <c r="I32" s="10"/>
      <c r="J32" s="46" t="e">
        <f>SUM(J29:J31)</f>
        <v>#REF!</v>
      </c>
      <c r="K32" s="10"/>
      <c r="L32" s="16" t="e">
        <f>J32/H32</f>
        <v>#REF!</v>
      </c>
      <c r="M32" s="10"/>
      <c r="N32" s="16">
        <f>$F$1</f>
        <v>1</v>
      </c>
      <c r="O32" s="8"/>
      <c r="P32" s="46" t="e">
        <f>SUM(P29:P31)</f>
        <v>#REF!</v>
      </c>
      <c r="Q32" s="10"/>
      <c r="R32" s="16">
        <f t="shared" si="10"/>
        <v>0</v>
      </c>
      <c r="S32" s="10"/>
      <c r="T32" s="40">
        <f t="shared" si="11"/>
        <v>0.9</v>
      </c>
      <c r="U32" s="8"/>
    </row>
    <row r="33" spans="1:21" x14ac:dyDescent="0.25">
      <c r="H33"/>
      <c r="J33"/>
      <c r="P33"/>
    </row>
    <row r="34" spans="1:21" ht="15.75" x14ac:dyDescent="0.25">
      <c r="A34" s="502" t="s">
        <v>1367</v>
      </c>
      <c r="B34" s="504" t="s">
        <v>10</v>
      </c>
      <c r="C34" s="504"/>
      <c r="D34" s="504"/>
      <c r="E34" s="504"/>
      <c r="F34" s="504"/>
      <c r="G34" s="15"/>
      <c r="H34" s="46" t="e">
        <f>COUNTIFS(tbl_cleaning[Housing Team],"HOUSING WEST TEAM 7",#REF!,"&lt;&gt;NV")</f>
        <v>#REF!</v>
      </c>
      <c r="I34" s="10"/>
      <c r="J34" s="46" t="e" cm="1">
        <f t="array" ref="J34">SUM(COUNTIFS(tbl_cleaning[Housing Team],"HOUSING WEST TEAM 7",#REF!,{"1","2","3","4"}))</f>
        <v>#REF!</v>
      </c>
      <c r="K34" s="10"/>
      <c r="L34" s="16" t="e">
        <f>J34/H34</f>
        <v>#REF!</v>
      </c>
      <c r="M34" s="10"/>
      <c r="N34" s="16">
        <f>$F$1</f>
        <v>1</v>
      </c>
      <c r="O34" s="8"/>
      <c r="P34" s="46" t="e">
        <f>COUNTIFS(tbl_cleaning[Housing Team],"HOUSING WEST TEAM 7",#REF!,3)+COUNTIFS(tbl_cleaning[Housing Team],"HOUSING WEST TEAM 7",#REF!,4)</f>
        <v>#REF!</v>
      </c>
      <c r="Q34" s="10"/>
      <c r="R34" s="16">
        <f t="shared" ref="R34:R37" si="12">IFERROR(P34/J34,0)</f>
        <v>0</v>
      </c>
      <c r="S34" s="10"/>
      <c r="T34" s="40">
        <f t="shared" ref="T34:T37" si="13">$Q$1</f>
        <v>0.9</v>
      </c>
      <c r="U34" s="8"/>
    </row>
    <row r="35" spans="1:21" ht="15.75" x14ac:dyDescent="0.25">
      <c r="A35" s="502"/>
      <c r="B35" s="504" t="s">
        <v>11</v>
      </c>
      <c r="C35" s="504"/>
      <c r="D35" s="504"/>
      <c r="E35" s="504"/>
      <c r="F35" s="504"/>
      <c r="G35" s="15"/>
      <c r="H35" s="46" t="e">
        <f>COUNTIFS(tbl_cleaning[Housing Team],"HOUSING WEST TEAM 7",#REF!,"&lt;&gt;NV")</f>
        <v>#REF!</v>
      </c>
      <c r="I35" s="10"/>
      <c r="J35" s="46" t="e" cm="1">
        <f t="array" ref="J35">SUM(COUNTIFS(tbl_cleaning[Housing Team],"HOUSING WEST TEAM 7",#REF!,{"1","2","3","4"}))</f>
        <v>#REF!</v>
      </c>
      <c r="K35" s="10"/>
      <c r="L35" s="16" t="e">
        <f>J35/H35</f>
        <v>#REF!</v>
      </c>
      <c r="M35" s="10"/>
      <c r="N35" s="16">
        <f t="shared" ref="N35:N37" si="14">$F$1</f>
        <v>1</v>
      </c>
      <c r="O35" s="8"/>
      <c r="P35" s="46" t="e">
        <f>COUNTIFS(tbl_cleaning[Housing Team],"HOUSING WEST TEAM 7",#REF!,3)+COUNTIFS(tbl_cleaning[Housing Team],"HOUSING WEST TEAM 7",#REF!,4)</f>
        <v>#REF!</v>
      </c>
      <c r="Q35" s="10"/>
      <c r="R35" s="16">
        <f t="shared" si="12"/>
        <v>0</v>
      </c>
      <c r="S35" s="10"/>
      <c r="T35" s="40">
        <f t="shared" si="13"/>
        <v>0.9</v>
      </c>
      <c r="U35" s="8"/>
    </row>
    <row r="36" spans="1:21" ht="15.75" x14ac:dyDescent="0.25">
      <c r="A36" s="502"/>
      <c r="B36" s="504" t="s">
        <v>12</v>
      </c>
      <c r="C36" s="504"/>
      <c r="D36" s="504"/>
      <c r="E36" s="504"/>
      <c r="F36" s="504"/>
      <c r="G36" s="15"/>
      <c r="H36" s="46" t="e">
        <f>COUNTIFS(#REF!,"HOUSING WEST TEAM 7",#REF!,"&lt;&gt;NV")</f>
        <v>#REF!</v>
      </c>
      <c r="I36" s="10"/>
      <c r="J36" s="46" t="e">
        <f t="array" ref="J36">SUM(COUNTIFS(#REF!,"HOUSING WEST TEAM 7",#REF!,{"1","2","3","4"}))</f>
        <v>#REF!</v>
      </c>
      <c r="K36" s="10"/>
      <c r="L36" s="16" t="e">
        <f>J36/H36</f>
        <v>#REF!</v>
      </c>
      <c r="M36" s="10"/>
      <c r="N36" s="16">
        <f t="shared" si="14"/>
        <v>1</v>
      </c>
      <c r="O36" s="8"/>
      <c r="P36" s="46" t="e">
        <f>COUNTIFS(#REF!,"HOUSING WEST TEAM 7",#REF!,3)+COUNTIFS(#REF!,"HOUSING WEST TEAM 7",#REF!,4)</f>
        <v>#REF!</v>
      </c>
      <c r="Q36" s="10"/>
      <c r="R36" s="16">
        <f t="shared" si="12"/>
        <v>0</v>
      </c>
      <c r="S36" s="10"/>
      <c r="T36" s="40">
        <f t="shared" si="13"/>
        <v>0.9</v>
      </c>
      <c r="U36" s="8"/>
    </row>
    <row r="37" spans="1:21" x14ac:dyDescent="0.25">
      <c r="A37" s="503"/>
      <c r="B37" s="504" t="s">
        <v>13</v>
      </c>
      <c r="C37" s="504"/>
      <c r="D37" s="504"/>
      <c r="E37" s="504"/>
      <c r="F37" s="504"/>
      <c r="G37" s="8"/>
      <c r="H37" s="46" t="e">
        <f>H34+H35+H36</f>
        <v>#REF!</v>
      </c>
      <c r="I37" s="10"/>
      <c r="J37" s="46" t="e">
        <f>SUM(J34:J36)</f>
        <v>#REF!</v>
      </c>
      <c r="K37" s="10"/>
      <c r="L37" s="16" t="e">
        <f>J37/H37</f>
        <v>#REF!</v>
      </c>
      <c r="M37" s="10"/>
      <c r="N37" s="16">
        <f t="shared" si="14"/>
        <v>1</v>
      </c>
      <c r="O37" s="8"/>
      <c r="P37" s="46" t="e">
        <f>SUM(P34:P36)</f>
        <v>#REF!</v>
      </c>
      <c r="Q37" s="10"/>
      <c r="R37" s="16">
        <f t="shared" si="12"/>
        <v>0</v>
      </c>
      <c r="S37" s="10"/>
      <c r="T37" s="40">
        <f t="shared" si="13"/>
        <v>0.9</v>
      </c>
      <c r="U37" s="8"/>
    </row>
    <row r="38" spans="1:21" x14ac:dyDescent="0.25">
      <c r="H38"/>
      <c r="J38"/>
      <c r="P38"/>
    </row>
    <row r="39" spans="1:21" ht="15.75" x14ac:dyDescent="0.25">
      <c r="A39" s="502" t="s">
        <v>1370</v>
      </c>
      <c r="B39" s="507" t="s">
        <v>10</v>
      </c>
      <c r="C39" s="508"/>
      <c r="D39" s="508"/>
      <c r="E39" s="508"/>
      <c r="F39" s="509"/>
      <c r="G39" s="15"/>
      <c r="H39" s="46" t="e">
        <f>COUNTIFS(tbl_cleaning[Housing Team],"HOUSING WEST TEAM 8",#REF!,"&lt;&gt;NV")</f>
        <v>#REF!</v>
      </c>
      <c r="I39" s="10"/>
      <c r="J39" s="46" t="e" cm="1">
        <f t="array" ref="J39">SUM(COUNTIFS(tbl_cleaning[Housing Team],"HOUSING WEST TEAM 8",#REF!,{"1","2","3","4"}))</f>
        <v>#REF!</v>
      </c>
      <c r="K39" s="10"/>
      <c r="L39" s="16" t="e">
        <f>J39/H39</f>
        <v>#REF!</v>
      </c>
      <c r="M39" s="10"/>
      <c r="N39" s="16">
        <f t="shared" ref="N39:N42" si="15">$F$1</f>
        <v>1</v>
      </c>
      <c r="O39" s="8"/>
      <c r="P39" s="46" t="e">
        <f>COUNTIFS(tbl_cleaning[Housing Team],"HOUSING WEST TEAM 8",#REF!,3)+COUNTIFS(tbl_cleaning[Housing Team],"HOUSING WEST TEAM 8",#REF!,4)</f>
        <v>#REF!</v>
      </c>
      <c r="Q39" s="10"/>
      <c r="R39" s="16">
        <f t="shared" ref="R39:R42" si="16">IFERROR(P39/J39,0)</f>
        <v>0</v>
      </c>
      <c r="S39" s="10"/>
      <c r="T39" s="40">
        <f t="shared" ref="T39:T42" si="17">$Q$1</f>
        <v>0.9</v>
      </c>
      <c r="U39" s="8"/>
    </row>
    <row r="40" spans="1:21" ht="15.75" x14ac:dyDescent="0.25">
      <c r="A40" s="502"/>
      <c r="B40" s="507" t="s">
        <v>11</v>
      </c>
      <c r="C40" s="508"/>
      <c r="D40" s="508"/>
      <c r="E40" s="508"/>
      <c r="F40" s="509"/>
      <c r="G40" s="15"/>
      <c r="H40" s="46" t="e">
        <f>COUNTIFS(tbl_cleaning[Housing Team],"HOUSING WEST TEAM 8",#REF!,"&lt;&gt;NV")</f>
        <v>#REF!</v>
      </c>
      <c r="I40" s="10"/>
      <c r="J40" s="46" t="e" cm="1">
        <f t="array" ref="J40">SUM(COUNTIFS(tbl_cleaning[Housing Team],"HOUSING WEST TEAM 8",#REF!,{"1","2","3","4"}))</f>
        <v>#REF!</v>
      </c>
      <c r="K40" s="10"/>
      <c r="L40" s="16" t="e">
        <f>J40/H40</f>
        <v>#REF!</v>
      </c>
      <c r="M40" s="10"/>
      <c r="N40" s="16">
        <f t="shared" si="15"/>
        <v>1</v>
      </c>
      <c r="O40" s="8"/>
      <c r="P40" s="46" t="e">
        <f>COUNTIFS(tbl_cleaning[Housing Team],"HOUSING WEST TEAM 8",#REF!,3)+COUNTIFS(tbl_cleaning[Housing Team],"HOUSING WEST TEAM 8",#REF!,4)</f>
        <v>#REF!</v>
      </c>
      <c r="Q40" s="10"/>
      <c r="R40" s="16">
        <f t="shared" si="16"/>
        <v>0</v>
      </c>
      <c r="S40" s="10"/>
      <c r="T40" s="40">
        <f t="shared" si="17"/>
        <v>0.9</v>
      </c>
      <c r="U40" s="8"/>
    </row>
    <row r="41" spans="1:21" ht="15.75" x14ac:dyDescent="0.25">
      <c r="A41" s="502"/>
      <c r="B41" s="507" t="s">
        <v>12</v>
      </c>
      <c r="C41" s="508"/>
      <c r="D41" s="508"/>
      <c r="E41" s="508"/>
      <c r="F41" s="509"/>
      <c r="G41" s="15"/>
      <c r="H41" s="46" t="e">
        <f>(COUNTIFS(#REF!,"HOUSING WEST TEAM 8",#REF!,"&lt;&gt;NV"))</f>
        <v>#REF!</v>
      </c>
      <c r="I41" s="10"/>
      <c r="J41" s="46" t="e">
        <f t="array" ref="J41">SUM(COUNTIFS(#REF!,"HOUSING WEST TEAM 8",#REF!,{"1","2","3","4"}))</f>
        <v>#REF!</v>
      </c>
      <c r="K41" s="10"/>
      <c r="L41" s="16" t="e">
        <f>J41/H41</f>
        <v>#REF!</v>
      </c>
      <c r="M41" s="10"/>
      <c r="N41" s="16">
        <f t="shared" si="15"/>
        <v>1</v>
      </c>
      <c r="O41" s="8"/>
      <c r="P41" s="46" t="e">
        <f>COUNTIFS(#REF!,"HOUSING WEST TEAM 8",#REF!,3)+COUNTIFS(#REF!,"HOUSING WEST TEAM 8",#REF!,4)</f>
        <v>#REF!</v>
      </c>
      <c r="Q41" s="10"/>
      <c r="R41" s="16">
        <f t="shared" si="16"/>
        <v>0</v>
      </c>
      <c r="S41" s="10"/>
      <c r="T41" s="40">
        <f t="shared" si="17"/>
        <v>0.9</v>
      </c>
      <c r="U41" s="8"/>
    </row>
    <row r="42" spans="1:21" x14ac:dyDescent="0.25">
      <c r="A42" s="502"/>
      <c r="B42" s="507" t="s">
        <v>13</v>
      </c>
      <c r="C42" s="508"/>
      <c r="D42" s="508"/>
      <c r="E42" s="508"/>
      <c r="F42" s="509"/>
      <c r="G42" s="8"/>
      <c r="H42" s="46" t="e">
        <f>H39+H40+H41</f>
        <v>#REF!</v>
      </c>
      <c r="I42" s="10"/>
      <c r="J42" s="46" t="e">
        <f>SUM(J39:J41)</f>
        <v>#REF!</v>
      </c>
      <c r="K42" s="10"/>
      <c r="L42" s="16" t="e">
        <f>J42/H42</f>
        <v>#REF!</v>
      </c>
      <c r="M42" s="10"/>
      <c r="N42" s="16">
        <f t="shared" si="15"/>
        <v>1</v>
      </c>
      <c r="O42" s="8"/>
      <c r="P42" s="46" t="e">
        <f>SUM(P39:P41)</f>
        <v>#REF!</v>
      </c>
      <c r="Q42" s="10"/>
      <c r="R42" s="16">
        <f t="shared" si="16"/>
        <v>0</v>
      </c>
      <c r="S42" s="10"/>
      <c r="T42" s="40">
        <f t="shared" si="17"/>
        <v>0.9</v>
      </c>
      <c r="U42" s="8"/>
    </row>
    <row r="43" spans="1:21" x14ac:dyDescent="0.25">
      <c r="H43"/>
      <c r="J43"/>
      <c r="P43"/>
    </row>
    <row r="44" spans="1:21" ht="15.75" x14ac:dyDescent="0.25">
      <c r="A44" s="505" t="s">
        <v>1363</v>
      </c>
      <c r="B44" s="504" t="s">
        <v>10</v>
      </c>
      <c r="C44" s="504"/>
      <c r="D44" s="504"/>
      <c r="E44" s="504"/>
      <c r="F44" s="504"/>
      <c r="G44" s="15"/>
      <c r="H44" s="46" t="e">
        <f>COUNTIFS(tbl_cleaning[Housing Team],"HOUSING SOUTH TEAM 5",#REF!,"&lt;&gt;NV")</f>
        <v>#REF!</v>
      </c>
      <c r="I44" s="10"/>
      <c r="J44" s="46" t="e" cm="1">
        <f t="array" ref="J44">SUM(COUNTIFS(tbl_cleaning[Housing Team],"HOUSING SOUTH TEAM 5",#REF!,{"1","2","3","4"}))</f>
        <v>#REF!</v>
      </c>
      <c r="K44" s="10"/>
      <c r="L44" s="16" t="e">
        <f>J44/H44</f>
        <v>#REF!</v>
      </c>
      <c r="M44" s="10"/>
      <c r="N44" s="16">
        <f>$F$1</f>
        <v>1</v>
      </c>
      <c r="O44" s="8"/>
      <c r="P44" s="46" t="e">
        <f>COUNTIFS(tbl_cleaning[Housing Team],"HOUSING SOUTH TEAM 5",#REF!,3)+COUNTIFS(tbl_cleaning[Housing Team],"HOUSING SOUTH TEAM 5",#REF!,4)</f>
        <v>#REF!</v>
      </c>
      <c r="Q44" s="10"/>
      <c r="R44" s="16">
        <f t="shared" ref="R44:R47" si="18">IFERROR(P44/J44,0)</f>
        <v>0</v>
      </c>
      <c r="S44" s="10"/>
      <c r="T44" s="40">
        <f t="shared" ref="T44:T47" si="19">$Q$1</f>
        <v>0.9</v>
      </c>
      <c r="U44" s="8"/>
    </row>
    <row r="45" spans="1:21" ht="15.75" x14ac:dyDescent="0.25">
      <c r="A45" s="505"/>
      <c r="B45" s="504" t="s">
        <v>11</v>
      </c>
      <c r="C45" s="504"/>
      <c r="D45" s="504"/>
      <c r="E45" s="504"/>
      <c r="F45" s="504"/>
      <c r="G45" s="15"/>
      <c r="H45" s="46" t="e">
        <f>COUNTIFS(tbl_cleaning[Housing Team],"HOUSING SOUTH TEAM 5",#REF!,"&lt;&gt;NV")</f>
        <v>#REF!</v>
      </c>
      <c r="I45" s="10"/>
      <c r="J45" s="46" t="e" cm="1">
        <f t="array" ref="J45">SUM(COUNTIFS(tbl_cleaning[Housing Team],"HOUSING SOUTH TEAM 5",#REF!,{"1","2","3","4"}))</f>
        <v>#REF!</v>
      </c>
      <c r="K45" s="10"/>
      <c r="L45" s="16" t="e">
        <f>J45/H45</f>
        <v>#REF!</v>
      </c>
      <c r="M45" s="10"/>
      <c r="N45" s="16">
        <f>$F$1</f>
        <v>1</v>
      </c>
      <c r="O45" s="8"/>
      <c r="P45" s="46" t="e">
        <f>COUNTIFS(tbl_cleaning[Housing Team],"HOUSING SOUTH TEAM 5",#REF!,3)+COUNTIFS(tbl_cleaning[Housing Team],"HOUSING SOUTH TEAM 5",#REF!,4)</f>
        <v>#REF!</v>
      </c>
      <c r="Q45" s="10"/>
      <c r="R45" s="16">
        <f t="shared" si="18"/>
        <v>0</v>
      </c>
      <c r="S45" s="10"/>
      <c r="T45" s="40">
        <f t="shared" si="19"/>
        <v>0.9</v>
      </c>
      <c r="U45" s="8"/>
    </row>
    <row r="46" spans="1:21" ht="15.75" x14ac:dyDescent="0.25">
      <c r="A46" s="505"/>
      <c r="B46" s="504" t="s">
        <v>12</v>
      </c>
      <c r="C46" s="504"/>
      <c r="D46" s="504"/>
      <c r="E46" s="504"/>
      <c r="F46" s="504"/>
      <c r="G46" s="15"/>
      <c r="H46" s="46" t="e">
        <f>COUNTIFS(#REF!,"HOUSING SOUTH TEAM 5",#REF!,"&lt;&gt;NV")</f>
        <v>#REF!</v>
      </c>
      <c r="I46" s="10"/>
      <c r="J46" s="46" t="e">
        <f t="array" ref="J46">SUM(COUNTIFS(#REF!,"HOUSING SOUTH TEAM 5",#REF!,{"1","2","3","4"}))</f>
        <v>#REF!</v>
      </c>
      <c r="K46" s="10"/>
      <c r="L46" s="16" t="e">
        <f>J46/H46</f>
        <v>#REF!</v>
      </c>
      <c r="M46" s="10"/>
      <c r="N46" s="16">
        <f>$F$1</f>
        <v>1</v>
      </c>
      <c r="O46" s="8"/>
      <c r="P46" s="46" t="e">
        <f>COUNTIFS(#REF!,"HOUSING SOUTH TEAM 5",#REF!,3)+COUNTIFS(#REF!,"HOUSING SOUTH TEAM 5",#REF!,4)</f>
        <v>#REF!</v>
      </c>
      <c r="Q46" s="10"/>
      <c r="R46" s="16">
        <f t="shared" si="18"/>
        <v>0</v>
      </c>
      <c r="S46" s="10"/>
      <c r="T46" s="40">
        <f t="shared" si="19"/>
        <v>0.9</v>
      </c>
      <c r="U46" s="8"/>
    </row>
    <row r="47" spans="1:21" x14ac:dyDescent="0.25">
      <c r="A47" s="506"/>
      <c r="B47" s="504" t="s">
        <v>13</v>
      </c>
      <c r="C47" s="504"/>
      <c r="D47" s="504"/>
      <c r="E47" s="504"/>
      <c r="F47" s="504"/>
      <c r="G47" s="8"/>
      <c r="H47" s="46" t="e">
        <f>H44+H45+H46</f>
        <v>#REF!</v>
      </c>
      <c r="I47" s="10"/>
      <c r="J47" s="46" t="e">
        <f>SUM(J44:J46)</f>
        <v>#REF!</v>
      </c>
      <c r="K47" s="10"/>
      <c r="L47" s="16" t="e">
        <f>J47/H47</f>
        <v>#REF!</v>
      </c>
      <c r="M47" s="10"/>
      <c r="N47" s="16">
        <f>$F$1</f>
        <v>1</v>
      </c>
      <c r="O47" s="8"/>
      <c r="P47" s="46" t="e">
        <f>SUM(P44:P46)</f>
        <v>#REF!</v>
      </c>
      <c r="Q47" s="10"/>
      <c r="R47" s="16">
        <f t="shared" si="18"/>
        <v>0</v>
      </c>
      <c r="S47" s="10"/>
      <c r="T47" s="40">
        <f t="shared" si="19"/>
        <v>0.9</v>
      </c>
      <c r="U47" s="8"/>
    </row>
    <row r="48" spans="1:21" x14ac:dyDescent="0.25">
      <c r="H48"/>
      <c r="J48"/>
      <c r="P48"/>
    </row>
    <row r="49" spans="1:21" ht="15.75" customHeight="1" x14ac:dyDescent="0.25">
      <c r="A49" s="502" t="s">
        <v>1377</v>
      </c>
      <c r="B49" s="504" t="s">
        <v>10</v>
      </c>
      <c r="C49" s="504"/>
      <c r="D49" s="504"/>
      <c r="E49" s="504"/>
      <c r="F49" s="504"/>
      <c r="G49" s="15"/>
      <c r="H49" s="46" t="e">
        <f>COUNTIFS(tbl_cleaning[Housing Team],"HOUSING WEST TEAM 3",#REF!,"&lt;&gt;NV")</f>
        <v>#REF!</v>
      </c>
      <c r="I49" s="10"/>
      <c r="J49" s="46" t="e" cm="1">
        <f t="array" ref="J49">SUM(COUNTIFS(tbl_cleaning[Housing Team],"HOUSING WEST TEAM 3",#REF!,{"1","2","3","4"}))</f>
        <v>#REF!</v>
      </c>
      <c r="K49" s="10"/>
      <c r="L49" s="16" t="e">
        <f>J49/H49</f>
        <v>#REF!</v>
      </c>
      <c r="M49" s="10"/>
      <c r="N49" s="16">
        <f>$F$1</f>
        <v>1</v>
      </c>
      <c r="O49" s="8"/>
      <c r="P49" s="46" t="e">
        <f>COUNTIFS(tbl_cleaning[Housing Team],"HOUSING WEST TEAM 3",#REF!,3)+COUNTIFS(tbl_cleaning[Housing Team],"HOUSING WEST TEAM 3",#REF!,4)</f>
        <v>#REF!</v>
      </c>
      <c r="Q49" s="10"/>
      <c r="R49" s="16">
        <f t="shared" ref="R49:R52" si="20">IFERROR(P49/J49,0)</f>
        <v>0</v>
      </c>
      <c r="S49" s="10"/>
      <c r="T49" s="40">
        <f t="shared" ref="T49:T52" si="21">$Q$1</f>
        <v>0.9</v>
      </c>
      <c r="U49" s="8"/>
    </row>
    <row r="50" spans="1:21" ht="15.75" x14ac:dyDescent="0.25">
      <c r="A50" s="502"/>
      <c r="B50" s="504" t="s">
        <v>11</v>
      </c>
      <c r="C50" s="504"/>
      <c r="D50" s="504"/>
      <c r="E50" s="504"/>
      <c r="F50" s="504"/>
      <c r="G50" s="15"/>
      <c r="H50" s="46" t="e">
        <f>COUNTIFS(tbl_cleaning[Housing Team],"HOUSING WEST TEAM 3",#REF!,"&lt;&gt;NV")</f>
        <v>#REF!</v>
      </c>
      <c r="I50" s="10"/>
      <c r="J50" s="46" t="e" cm="1">
        <f t="array" ref="J50">SUM(COUNTIFS(tbl_cleaning[Housing Team],"HOUSING WEST TEAM 3",#REF!,{"1","2","3","4"}))</f>
        <v>#REF!</v>
      </c>
      <c r="K50" s="10"/>
      <c r="L50" s="16" t="e">
        <f>J50/H50</f>
        <v>#REF!</v>
      </c>
      <c r="M50" s="10"/>
      <c r="N50" s="16">
        <f>$F$1</f>
        <v>1</v>
      </c>
      <c r="O50" s="8"/>
      <c r="P50" s="46" t="e">
        <f>COUNTIFS(tbl_cleaning[Housing Team],"HOUSING WEST TEAM 3",#REF!,3)+COUNTIFS(tbl_cleaning[Housing Team],"HOUSING WEST TEAM 3",#REF!,4)</f>
        <v>#REF!</v>
      </c>
      <c r="Q50" s="10"/>
      <c r="R50" s="16">
        <f t="shared" si="20"/>
        <v>0</v>
      </c>
      <c r="S50" s="10"/>
      <c r="T50" s="40">
        <f t="shared" si="21"/>
        <v>0.9</v>
      </c>
      <c r="U50" s="8"/>
    </row>
    <row r="51" spans="1:21" ht="15.75" x14ac:dyDescent="0.25">
      <c r="A51" s="502"/>
      <c r="B51" s="504" t="s">
        <v>12</v>
      </c>
      <c r="C51" s="504"/>
      <c r="D51" s="504"/>
      <c r="E51" s="504"/>
      <c r="F51" s="504"/>
      <c r="G51" s="15"/>
      <c r="H51" s="46" t="e">
        <f>COUNTIFS(#REF!,"HOUSING WEST TEAM 3",#REF!,"&lt;&gt;NV")</f>
        <v>#REF!</v>
      </c>
      <c r="I51" s="10"/>
      <c r="J51" s="46" t="e">
        <f t="array" ref="J51">SUM(COUNTIFS(#REF!,"HOUSING WEST TEAM 3",#REF!,{"1","2","3","4"}))</f>
        <v>#REF!</v>
      </c>
      <c r="K51" s="10"/>
      <c r="L51" s="16" t="e">
        <f>J51/H51</f>
        <v>#REF!</v>
      </c>
      <c r="M51" s="10"/>
      <c r="N51" s="16">
        <f>$F$1</f>
        <v>1</v>
      </c>
      <c r="O51" s="8"/>
      <c r="P51" s="46" t="e">
        <f>COUNTIFS(#REF!,"HOUSING WEST TEAM 3",#REF!,3)+COUNTIFS(#REF!,"HOUSING WEST TEAM 3",#REF!,4)</f>
        <v>#REF!</v>
      </c>
      <c r="Q51" s="10"/>
      <c r="R51" s="16">
        <f t="shared" si="20"/>
        <v>0</v>
      </c>
      <c r="S51" s="10"/>
      <c r="T51" s="40">
        <f t="shared" si="21"/>
        <v>0.9</v>
      </c>
      <c r="U51" s="8"/>
    </row>
    <row r="52" spans="1:21" x14ac:dyDescent="0.25">
      <c r="A52" s="503"/>
      <c r="B52" s="504" t="s">
        <v>13</v>
      </c>
      <c r="C52" s="504"/>
      <c r="D52" s="504"/>
      <c r="E52" s="504"/>
      <c r="F52" s="504"/>
      <c r="G52" s="8"/>
      <c r="H52" s="46" t="e">
        <f>H49+H50+H51</f>
        <v>#REF!</v>
      </c>
      <c r="I52" s="10"/>
      <c r="J52" s="46" t="e">
        <f>SUM(J49:J51)</f>
        <v>#REF!</v>
      </c>
      <c r="K52" s="10"/>
      <c r="L52" s="16" t="e">
        <f>J52/H52</f>
        <v>#REF!</v>
      </c>
      <c r="M52" s="10"/>
      <c r="N52" s="16">
        <f>$F$1</f>
        <v>1</v>
      </c>
      <c r="O52" s="8"/>
      <c r="P52" s="46" t="e">
        <f>SUM(P49:P51)</f>
        <v>#REF!</v>
      </c>
      <c r="Q52" s="10"/>
      <c r="R52" s="16">
        <f t="shared" si="20"/>
        <v>0</v>
      </c>
      <c r="S52" s="10"/>
      <c r="T52" s="40">
        <f t="shared" si="21"/>
        <v>0.9</v>
      </c>
      <c r="U52" s="8"/>
    </row>
    <row r="53" spans="1:21" ht="15.75" customHeight="1" x14ac:dyDescent="0.25">
      <c r="H53"/>
      <c r="J53"/>
      <c r="P53"/>
    </row>
    <row r="54" spans="1:21" ht="15.75" customHeight="1" x14ac:dyDescent="0.25">
      <c r="A54" s="505" t="s">
        <v>1379</v>
      </c>
      <c r="B54" s="504" t="s">
        <v>10</v>
      </c>
      <c r="C54" s="504"/>
      <c r="D54" s="504"/>
      <c r="E54" s="504"/>
      <c r="F54" s="504"/>
      <c r="G54" s="15"/>
      <c r="H54" s="46" t="e">
        <f>COUNTIFS(tbl_cleaning[Housing Team],"HOUSING SOUTH TEAM 4",#REF!,"&lt;&gt;NV")</f>
        <v>#REF!</v>
      </c>
      <c r="I54" s="10"/>
      <c r="J54" s="46" t="e" cm="1">
        <f t="array" ref="J54">SUM(COUNTIFS(tbl_cleaning[Housing Team],"HOUSING SOUTH TEAM 4",#REF!,{"1","2","3","4"}))</f>
        <v>#REF!</v>
      </c>
      <c r="K54" s="10"/>
      <c r="L54" s="16" t="e">
        <f>J54/H54</f>
        <v>#REF!</v>
      </c>
      <c r="M54" s="10"/>
      <c r="N54" s="16">
        <f>$F$1</f>
        <v>1</v>
      </c>
      <c r="O54" s="8"/>
      <c r="P54" s="46" t="e">
        <f>COUNTIFS(tbl_cleaning[Housing Team],"HOUSING SOUTH TEAM 4",#REF!,3)+COUNTIFS(tbl_cleaning[Housing Team],"HOUSING SOUTH TEAM 4",#REF!,4)</f>
        <v>#REF!</v>
      </c>
      <c r="Q54" s="10"/>
      <c r="R54" s="16">
        <f t="shared" ref="R54:R57" si="22">IFERROR(P54/J54,0)</f>
        <v>0</v>
      </c>
      <c r="S54" s="10"/>
      <c r="T54" s="40">
        <f t="shared" ref="T54:T57" si="23">$Q$1</f>
        <v>0.9</v>
      </c>
      <c r="U54" s="8"/>
    </row>
    <row r="55" spans="1:21" ht="15.75" customHeight="1" x14ac:dyDescent="0.25">
      <c r="A55" s="505"/>
      <c r="B55" s="504" t="s">
        <v>11</v>
      </c>
      <c r="C55" s="504"/>
      <c r="D55" s="504"/>
      <c r="E55" s="504"/>
      <c r="F55" s="504"/>
      <c r="G55" s="15"/>
      <c r="H55" s="46" t="e">
        <f>COUNTIFS(tbl_cleaning[Housing Team],"HOUSING SOUTH TEAM 4",#REF!,"&lt;&gt;NV")</f>
        <v>#REF!</v>
      </c>
      <c r="I55" s="10"/>
      <c r="J55" s="46" t="e" cm="1">
        <f t="array" ref="J55">SUM(COUNTIFS(tbl_cleaning[Housing Team],"HOUSING SOUTH TEAM 4",#REF!,{"1","2","3","4"}))</f>
        <v>#REF!</v>
      </c>
      <c r="K55" s="10"/>
      <c r="L55" s="16" t="e">
        <f>J55/H55</f>
        <v>#REF!</v>
      </c>
      <c r="M55" s="10"/>
      <c r="N55" s="16">
        <f>$F$1</f>
        <v>1</v>
      </c>
      <c r="O55" s="8"/>
      <c r="P55" s="46" t="e">
        <f>COUNTIFS(tbl_cleaning[Housing Team],"HOUSING SOUTH TEAM 4",#REF!,3)+COUNTIFS(tbl_cleaning[Housing Team],"HOUSING SOUTH TEAM 4",#REF!,4)</f>
        <v>#REF!</v>
      </c>
      <c r="Q55" s="10"/>
      <c r="R55" s="16">
        <f t="shared" si="22"/>
        <v>0</v>
      </c>
      <c r="S55" s="10"/>
      <c r="T55" s="40">
        <f t="shared" si="23"/>
        <v>0.9</v>
      </c>
      <c r="U55" s="8"/>
    </row>
    <row r="56" spans="1:21" ht="15.75" customHeight="1" x14ac:dyDescent="0.25">
      <c r="A56" s="505"/>
      <c r="B56" s="504" t="s">
        <v>12</v>
      </c>
      <c r="C56" s="504"/>
      <c r="D56" s="504"/>
      <c r="E56" s="504"/>
      <c r="F56" s="504"/>
      <c r="G56" s="15"/>
      <c r="H56" s="46" t="e">
        <f>COUNTIFS(#REF!,"HOUSING SOUTH TEAM 4",#REF!,"&lt;&gt;NV")</f>
        <v>#REF!</v>
      </c>
      <c r="I56" s="10"/>
      <c r="J56" s="46" t="e">
        <f t="array" ref="J56">SUM(COUNTIFS(#REF!,"HOUSING SOUTH TEAM 4",#REF!,{"1","2","3","4"}))</f>
        <v>#REF!</v>
      </c>
      <c r="K56" s="10"/>
      <c r="L56" s="16" t="e">
        <f>J56/H56</f>
        <v>#REF!</v>
      </c>
      <c r="M56" s="10"/>
      <c r="N56" s="16">
        <f>$F$1</f>
        <v>1</v>
      </c>
      <c r="O56" s="8"/>
      <c r="P56" s="46" t="e">
        <f>COUNTIFS(#REF!,"HOUSING SOUTH TEAM 4",#REF!,3)+COUNTIFS(#REF!,"HOUSING SOUTH TEAM 4",#REF!,4)</f>
        <v>#REF!</v>
      </c>
      <c r="Q56" s="10"/>
      <c r="R56" s="16">
        <f t="shared" si="22"/>
        <v>0</v>
      </c>
      <c r="S56" s="10"/>
      <c r="T56" s="40">
        <f t="shared" si="23"/>
        <v>0.9</v>
      </c>
      <c r="U56" s="8"/>
    </row>
    <row r="57" spans="1:21" ht="15.75" customHeight="1" x14ac:dyDescent="0.25">
      <c r="A57" s="506"/>
      <c r="B57" s="504" t="s">
        <v>13</v>
      </c>
      <c r="C57" s="504"/>
      <c r="D57" s="504"/>
      <c r="E57" s="504"/>
      <c r="F57" s="504"/>
      <c r="G57" s="8"/>
      <c r="H57" s="46" t="e">
        <f>H54+H55+H56</f>
        <v>#REF!</v>
      </c>
      <c r="I57" s="10"/>
      <c r="J57" s="46" t="e">
        <f>SUM(J54:J56)</f>
        <v>#REF!</v>
      </c>
      <c r="K57" s="10"/>
      <c r="L57" s="16" t="e">
        <f>J57/H57</f>
        <v>#REF!</v>
      </c>
      <c r="M57" s="10"/>
      <c r="N57" s="16">
        <f>$F$1</f>
        <v>1</v>
      </c>
      <c r="O57" s="8"/>
      <c r="P57" s="46" t="e">
        <f>SUM(P54:P56)</f>
        <v>#REF!</v>
      </c>
      <c r="Q57" s="10"/>
      <c r="R57" s="16">
        <f t="shared" si="22"/>
        <v>0</v>
      </c>
      <c r="S57" s="10"/>
      <c r="T57" s="40">
        <f t="shared" si="23"/>
        <v>0.9</v>
      </c>
      <c r="U57" s="8"/>
    </row>
    <row r="58" spans="1:21" ht="15.75" customHeight="1" x14ac:dyDescent="0.25">
      <c r="H58"/>
      <c r="J58"/>
      <c r="P58"/>
    </row>
    <row r="59" spans="1:21" ht="15.75" customHeight="1" x14ac:dyDescent="0.25">
      <c r="A59" s="505" t="s">
        <v>1384</v>
      </c>
      <c r="B59" s="504" t="s">
        <v>10</v>
      </c>
      <c r="C59" s="504"/>
      <c r="D59" s="504"/>
      <c r="E59" s="504"/>
      <c r="F59" s="504"/>
      <c r="H59" s="46" t="e">
        <f>COUNTIFS(tbl_cleaning[Housing Team],"HOUSING SOUTH TEAM 6",#REF!,"&lt;&gt;NV")</f>
        <v>#REF!</v>
      </c>
      <c r="I59" s="10"/>
      <c r="J59" s="46" t="e" cm="1">
        <f t="array" ref="J59">SUM(COUNTIFS(tbl_cleaning[Housing Team],"HOUSING SOUTH TEAM 6",#REF!,{"1","2","3","4"}))</f>
        <v>#REF!</v>
      </c>
      <c r="K59" s="10"/>
      <c r="L59" s="16" t="e">
        <f>J59/H59</f>
        <v>#REF!</v>
      </c>
      <c r="M59" s="10"/>
      <c r="N59" s="16">
        <f>$F$1</f>
        <v>1</v>
      </c>
      <c r="O59" s="8"/>
      <c r="P59" s="46" t="e">
        <f>COUNTIFS(tbl_cleaning[Housing Team],"HOUSING SOUTH TEAM 6",#REF!,3)+COUNTIFS(tbl_cleaning[Housing Team],"HOUSING SOUTH TEAM 6",#REF!,4)</f>
        <v>#REF!</v>
      </c>
      <c r="Q59" s="10"/>
      <c r="R59" s="16">
        <f t="shared" ref="R59:R62" si="24">IFERROR(P59/J59,0)</f>
        <v>0</v>
      </c>
      <c r="S59" s="10"/>
      <c r="T59" s="40">
        <f t="shared" ref="T59:T62" si="25">$Q$1</f>
        <v>0.9</v>
      </c>
    </row>
    <row r="60" spans="1:21" ht="15.75" customHeight="1" x14ac:dyDescent="0.25">
      <c r="A60" s="505"/>
      <c r="B60" s="504" t="s">
        <v>11</v>
      </c>
      <c r="C60" s="504"/>
      <c r="D60" s="504"/>
      <c r="E60" s="504"/>
      <c r="F60" s="504"/>
      <c r="H60" s="46" t="e">
        <f>COUNTIFS(tbl_cleaning[Housing Team],"HOUSING SOUTH TEAM 6",#REF!,"&lt;&gt;NV")</f>
        <v>#REF!</v>
      </c>
      <c r="I60" s="10"/>
      <c r="J60" s="46" t="e" cm="1">
        <f t="array" ref="J60">SUM(COUNTIFS(tbl_cleaning[Housing Team],"HOUSING SOUTH TEAM 6",#REF!,{"1","2","3","4"}))</f>
        <v>#REF!</v>
      </c>
      <c r="K60" s="10"/>
      <c r="L60" s="16" t="e">
        <f>J60/H60</f>
        <v>#REF!</v>
      </c>
      <c r="M60" s="10"/>
      <c r="N60" s="16">
        <f>$F$1</f>
        <v>1</v>
      </c>
      <c r="O60" s="8"/>
      <c r="P60" s="46" t="e">
        <f>COUNTIFS(tbl_cleaning[Housing Team],"HOUSING SOUTH TEAM 6",#REF!,3)+COUNTIFS(tbl_cleaning[Housing Team],"HOUSING SOUTH TEAM 6",#REF!,4)</f>
        <v>#REF!</v>
      </c>
      <c r="Q60" s="10"/>
      <c r="R60" s="16">
        <f t="shared" si="24"/>
        <v>0</v>
      </c>
      <c r="S60" s="10"/>
      <c r="T60" s="40">
        <f t="shared" si="25"/>
        <v>0.9</v>
      </c>
    </row>
    <row r="61" spans="1:21" ht="15.75" customHeight="1" x14ac:dyDescent="0.25">
      <c r="A61" s="505"/>
      <c r="B61" s="504" t="s">
        <v>12</v>
      </c>
      <c r="C61" s="504"/>
      <c r="D61" s="504"/>
      <c r="E61" s="504"/>
      <c r="F61" s="504"/>
      <c r="H61" s="46" t="e">
        <f>COUNTIFS(#REF!,"HOUSING SOUTH TEAM 6",#REF!,"&lt;&gt;NV")</f>
        <v>#REF!</v>
      </c>
      <c r="I61" s="10"/>
      <c r="J61" s="46" t="e">
        <f t="array" ref="J61">SUM(COUNTIFS(#REF!,"HOUSING SOUTH TEAM 6",#REF!,{"1","2","3","4"}))</f>
        <v>#REF!</v>
      </c>
      <c r="K61" s="10"/>
      <c r="L61" s="16" t="e">
        <f>J61/H61</f>
        <v>#REF!</v>
      </c>
      <c r="M61" s="10"/>
      <c r="N61" s="16">
        <f>$F$1</f>
        <v>1</v>
      </c>
      <c r="O61" s="8"/>
      <c r="P61" s="46" t="e">
        <f>COUNTIFS(#REF!,"HOUSING SOUTH TEAM 6",#REF!,3)+COUNTIFS(#REF!,"HOUSING SOUTH TEAM 6",#REF!,4)</f>
        <v>#REF!</v>
      </c>
      <c r="Q61" s="10"/>
      <c r="R61" s="16">
        <f t="shared" si="24"/>
        <v>0</v>
      </c>
      <c r="S61" s="10"/>
      <c r="T61" s="40">
        <f t="shared" si="25"/>
        <v>0.9</v>
      </c>
    </row>
    <row r="62" spans="1:21" ht="15.75" customHeight="1" x14ac:dyDescent="0.25">
      <c r="A62" s="506"/>
      <c r="B62" s="504" t="s">
        <v>13</v>
      </c>
      <c r="C62" s="504"/>
      <c r="D62" s="504"/>
      <c r="E62" s="504"/>
      <c r="F62" s="504"/>
      <c r="H62" s="46" t="e">
        <f>H59+H60+H61</f>
        <v>#REF!</v>
      </c>
      <c r="I62" s="10"/>
      <c r="J62" s="46" t="e">
        <f>SUM(J59:J61)</f>
        <v>#REF!</v>
      </c>
      <c r="K62" s="10"/>
      <c r="L62" s="16" t="e">
        <f>J62/H62</f>
        <v>#REF!</v>
      </c>
      <c r="M62" s="10"/>
      <c r="N62" s="16">
        <f>$F$1</f>
        <v>1</v>
      </c>
      <c r="O62" s="8"/>
      <c r="P62" s="46" t="e">
        <f>SUM(P59:P61)</f>
        <v>#REF!</v>
      </c>
      <c r="Q62" s="10"/>
      <c r="R62" s="16">
        <f t="shared" si="24"/>
        <v>0</v>
      </c>
      <c r="S62" s="10"/>
      <c r="T62" s="40">
        <f t="shared" si="25"/>
        <v>0.9</v>
      </c>
    </row>
    <row r="63" spans="1:21" ht="16.5" customHeight="1" x14ac:dyDescent="0.25">
      <c r="H63"/>
      <c r="J63"/>
      <c r="P63"/>
    </row>
    <row r="64" spans="1:21" ht="16.5" customHeight="1" x14ac:dyDescent="0.25">
      <c r="A64" s="510" t="s">
        <v>1362</v>
      </c>
      <c r="B64" s="507" t="s">
        <v>10</v>
      </c>
      <c r="C64" s="508"/>
      <c r="D64" s="508"/>
      <c r="E64" s="508"/>
      <c r="F64" s="509"/>
      <c r="H64" s="46" t="e">
        <f>COUNTIFS(tbl_cleaning[Housing Team],"Housing IMR",#REF!,"&lt;&gt;NV")</f>
        <v>#REF!</v>
      </c>
      <c r="I64" s="10"/>
      <c r="J64" s="46" t="e" cm="1">
        <f t="array" ref="J64">SUM(COUNTIFS(tbl_cleaning[Housing Team],"Housing IMR",#REF!,{"1","2","3","4"}))</f>
        <v>#REF!</v>
      </c>
      <c r="K64" s="10"/>
      <c r="L64" s="16" t="e">
        <f>J64/H64</f>
        <v>#REF!</v>
      </c>
      <c r="M64" s="10"/>
      <c r="N64" s="16">
        <f>$F$1</f>
        <v>1</v>
      </c>
      <c r="O64" s="8"/>
      <c r="P64" s="46" t="e">
        <f>COUNTIFS(tbl_cleaning[Housing Team],"Housing IMR",#REF!,3)+COUNTIFS(tbl_cleaning[Housing Team],"Housing IMR",#REF!,4)</f>
        <v>#REF!</v>
      </c>
      <c r="Q64" s="10"/>
      <c r="R64" s="16">
        <f t="shared" ref="R64:R67" si="26">IFERROR(P64/J64,0)</f>
        <v>0</v>
      </c>
      <c r="S64" s="10"/>
      <c r="T64" s="40">
        <f t="shared" ref="T64:T67" si="27">$Q$1</f>
        <v>0.9</v>
      </c>
    </row>
    <row r="65" spans="1:21" ht="16.5" customHeight="1" x14ac:dyDescent="0.25">
      <c r="A65" s="510"/>
      <c r="B65" s="507" t="s">
        <v>11</v>
      </c>
      <c r="C65" s="508"/>
      <c r="D65" s="508"/>
      <c r="E65" s="508"/>
      <c r="F65" s="509"/>
      <c r="H65" s="46" t="e">
        <f>COUNTIFS(tbl_cleaning[Housing Team],"Housing IMR",#REF!,"&lt;&gt;NV")</f>
        <v>#REF!</v>
      </c>
      <c r="I65" s="10"/>
      <c r="J65" s="46" t="e" cm="1">
        <f t="array" ref="J65">SUM(COUNTIFS(tbl_cleaning[Housing Team],"Housing IMR",#REF!,{"1","2","3","4"}))</f>
        <v>#REF!</v>
      </c>
      <c r="K65" s="10"/>
      <c r="L65" s="16" t="e">
        <f>J65/H65</f>
        <v>#REF!</v>
      </c>
      <c r="M65" s="10"/>
      <c r="N65" s="16">
        <f>$F$1</f>
        <v>1</v>
      </c>
      <c r="O65" s="8"/>
      <c r="P65" s="46" t="e">
        <f>COUNTIFS(tbl_cleaning[Housing Team],"Housing IMR",#REF!,3)+COUNTIFS(tbl_cleaning[Housing Team],"Housing IMR",#REF!,4)</f>
        <v>#REF!</v>
      </c>
      <c r="Q65" s="10"/>
      <c r="R65" s="16">
        <f t="shared" si="26"/>
        <v>0</v>
      </c>
      <c r="S65" s="10"/>
      <c r="T65" s="40">
        <f t="shared" si="27"/>
        <v>0.9</v>
      </c>
    </row>
    <row r="66" spans="1:21" ht="15.75" customHeight="1" x14ac:dyDescent="0.25">
      <c r="A66" s="510"/>
      <c r="B66" s="507" t="s">
        <v>12</v>
      </c>
      <c r="C66" s="508"/>
      <c r="D66" s="508"/>
      <c r="E66" s="508"/>
      <c r="F66" s="509"/>
      <c r="H66" s="46" t="e">
        <f>COUNTIFS(#REF!,"Housing IMR",#REF!,"&lt;&gt;NV")</f>
        <v>#REF!</v>
      </c>
      <c r="I66" s="10"/>
      <c r="J66" s="46" t="e">
        <f t="array" ref="J66">SUM(COUNTIFS(#REF!,"Housing IMR",#REF!,{"1","2","3","4"}))</f>
        <v>#REF!</v>
      </c>
      <c r="K66" s="10"/>
      <c r="L66" s="16" t="e">
        <f>J66/H66</f>
        <v>#REF!</v>
      </c>
      <c r="M66" s="10"/>
      <c r="N66" s="16">
        <f>$F$1</f>
        <v>1</v>
      </c>
      <c r="O66" s="8"/>
      <c r="P66" s="46" t="e">
        <f>COUNTIFS(#REF!,"Housing IMR",#REF!,3)+COUNTIFS(#REF!,"Housing IMR",#REF!,4)</f>
        <v>#REF!</v>
      </c>
      <c r="Q66" s="10"/>
      <c r="R66" s="16">
        <f t="shared" si="26"/>
        <v>0</v>
      </c>
      <c r="S66" s="10"/>
      <c r="T66" s="40">
        <f t="shared" si="27"/>
        <v>0.9</v>
      </c>
    </row>
    <row r="67" spans="1:21" ht="15.75" customHeight="1" x14ac:dyDescent="0.25">
      <c r="A67" s="510"/>
      <c r="B67" s="507" t="s">
        <v>13</v>
      </c>
      <c r="C67" s="508"/>
      <c r="D67" s="508"/>
      <c r="E67" s="508"/>
      <c r="F67" s="509"/>
      <c r="H67" s="46" t="e">
        <f>H64+H65+H66</f>
        <v>#REF!</v>
      </c>
      <c r="I67" s="10"/>
      <c r="J67" s="46" t="e">
        <f>SUM(J64:J66)</f>
        <v>#REF!</v>
      </c>
      <c r="K67" s="10"/>
      <c r="L67" s="16" t="e">
        <f>J67/H67</f>
        <v>#REF!</v>
      </c>
      <c r="M67" s="10"/>
      <c r="N67" s="16">
        <f>$F$1</f>
        <v>1</v>
      </c>
      <c r="O67" s="8"/>
      <c r="P67" s="46" t="e">
        <f>SUM(P64:P66)</f>
        <v>#REF!</v>
      </c>
      <c r="Q67" s="10"/>
      <c r="R67" s="16">
        <f t="shared" si="26"/>
        <v>0</v>
      </c>
      <c r="S67" s="10"/>
      <c r="T67" s="40">
        <f t="shared" si="27"/>
        <v>0.9</v>
      </c>
    </row>
    <row r="68" spans="1:21" ht="15.75" customHeight="1" x14ac:dyDescent="0.25">
      <c r="H68"/>
      <c r="J68"/>
      <c r="P68"/>
    </row>
    <row r="69" spans="1:21" ht="15.75" customHeight="1" x14ac:dyDescent="0.25">
      <c r="A69" s="510" t="s">
        <v>1390</v>
      </c>
      <c r="B69" s="507" t="s">
        <v>10</v>
      </c>
      <c r="C69" s="508"/>
      <c r="D69" s="508"/>
      <c r="E69" s="508"/>
      <c r="F69" s="509"/>
      <c r="H69" s="46" t="e">
        <f>COUNTIFS(tbl_cleaning[Housing Team],"HOUSING EAST TEAM 1",#REF!,"&lt;&gt;NV")</f>
        <v>#REF!</v>
      </c>
      <c r="I69" s="10"/>
      <c r="J69" s="46" t="e" cm="1">
        <f t="array" ref="J69">SUM(COUNTIFS(tbl_cleaning[Housing Team],"HOUSING EAST TEAM 1",#REF!,{"1","2","3","4"}))</f>
        <v>#REF!</v>
      </c>
      <c r="K69" s="10"/>
      <c r="L69" s="16" t="e">
        <f>J69/H69</f>
        <v>#REF!</v>
      </c>
      <c r="M69" s="10"/>
      <c r="N69" s="16">
        <f>$F$1</f>
        <v>1</v>
      </c>
      <c r="O69" s="8"/>
      <c r="P69" s="46" t="e">
        <f>COUNTIFS(tbl_cleaning[Housing Team],"HOUSING EAST TEAM 1",#REF!,3)+COUNTIFS(tbl_cleaning[Housing Team],"HOUSING EAST TEAM 1",#REF!,4)</f>
        <v>#REF!</v>
      </c>
      <c r="Q69" s="10"/>
      <c r="R69" s="16">
        <f t="shared" ref="R69:R72" si="28">IFERROR(P69/J69,0)</f>
        <v>0</v>
      </c>
      <c r="S69" s="10"/>
      <c r="T69" s="40">
        <f t="shared" ref="T69:T72" si="29">$Q$1</f>
        <v>0.9</v>
      </c>
      <c r="U69" s="8"/>
    </row>
    <row r="70" spans="1:21" ht="15.75" customHeight="1" x14ac:dyDescent="0.25">
      <c r="A70" s="510"/>
      <c r="B70" s="507" t="s">
        <v>11</v>
      </c>
      <c r="C70" s="508"/>
      <c r="D70" s="508"/>
      <c r="E70" s="508"/>
      <c r="F70" s="509"/>
      <c r="H70" s="46" t="e">
        <f>COUNTIFS(tbl_cleaning[Housing Team],"HOUSING EAST TEAM 1",#REF!,"&lt;&gt;NV")</f>
        <v>#REF!</v>
      </c>
      <c r="I70" s="10"/>
      <c r="J70" s="46" t="e" cm="1">
        <f t="array" ref="J70">SUM(COUNTIFS(tbl_cleaning[Housing Team],"HOUSING EAST TEAM 1",#REF!,{"1","2","3","4"}))</f>
        <v>#REF!</v>
      </c>
      <c r="K70" s="10"/>
      <c r="L70" s="16" t="e">
        <f>J70/H70</f>
        <v>#REF!</v>
      </c>
      <c r="M70" s="10"/>
      <c r="N70" s="16">
        <f>$F$1</f>
        <v>1</v>
      </c>
      <c r="O70" s="8"/>
      <c r="P70" s="46" t="e">
        <f>COUNTIFS(tbl_cleaning[Housing Team],"HOUSING EAST TEAM 1",#REF!,3)+COUNTIFS(tbl_cleaning[Housing Team],"HOUSING EAST TEAM 1",#REF!,4)</f>
        <v>#REF!</v>
      </c>
      <c r="Q70" s="10"/>
      <c r="R70" s="16">
        <f t="shared" si="28"/>
        <v>0</v>
      </c>
      <c r="S70" s="10"/>
      <c r="T70" s="40">
        <f t="shared" si="29"/>
        <v>0.9</v>
      </c>
      <c r="U70" s="8"/>
    </row>
    <row r="71" spans="1:21" ht="15.75" customHeight="1" x14ac:dyDescent="0.25">
      <c r="A71" s="510"/>
      <c r="B71" s="507" t="s">
        <v>12</v>
      </c>
      <c r="C71" s="508"/>
      <c r="D71" s="508"/>
      <c r="E71" s="508"/>
      <c r="F71" s="509"/>
      <c r="H71" s="46" t="e">
        <f>COUNTIFS(#REF!,"HOUSING EAST TEAM 1",#REF!,"&lt;&gt;NV")</f>
        <v>#REF!</v>
      </c>
      <c r="I71" s="10"/>
      <c r="J71" s="46" t="e">
        <f t="array" ref="J71">SUM(COUNTIFS(#REF!,"HOUSING EAST TEAM 1",#REF!,{"1","2","3","4"}))</f>
        <v>#REF!</v>
      </c>
      <c r="K71" s="10"/>
      <c r="L71" s="16" t="e">
        <f>J71/H71</f>
        <v>#REF!</v>
      </c>
      <c r="M71" s="10"/>
      <c r="N71" s="16">
        <f>$F$1</f>
        <v>1</v>
      </c>
      <c r="O71" s="8"/>
      <c r="P71" s="46" t="e">
        <f>COUNTIFS(#REF!,"HOUSING EAST TEAM 1",#REF!,3)+COUNTIFS(#REF!,"HOUSING EAST TEAM 1",#REF!,4)</f>
        <v>#REF!</v>
      </c>
      <c r="Q71" s="10"/>
      <c r="R71" s="16">
        <f t="shared" si="28"/>
        <v>0</v>
      </c>
      <c r="S71" s="10"/>
      <c r="T71" s="40">
        <f t="shared" si="29"/>
        <v>0.9</v>
      </c>
      <c r="U71" s="8"/>
    </row>
    <row r="72" spans="1:21" ht="15.75" customHeight="1" x14ac:dyDescent="0.25">
      <c r="A72" s="511"/>
      <c r="B72" s="504" t="s">
        <v>13</v>
      </c>
      <c r="C72" s="504"/>
      <c r="D72" s="504"/>
      <c r="E72" s="504"/>
      <c r="F72" s="504"/>
      <c r="H72" s="46" t="e">
        <f>H69+H70+H71</f>
        <v>#REF!</v>
      </c>
      <c r="I72" s="10"/>
      <c r="J72" s="46" t="e">
        <f>SUM(J69:J71)</f>
        <v>#REF!</v>
      </c>
      <c r="K72" s="10"/>
      <c r="L72" s="16" t="e">
        <f>J72/H72</f>
        <v>#REF!</v>
      </c>
      <c r="M72" s="10"/>
      <c r="N72" s="16">
        <f>$F$1</f>
        <v>1</v>
      </c>
      <c r="O72" s="8"/>
      <c r="P72" s="46" t="e">
        <f>SUM(P69:P71)</f>
        <v>#REF!</v>
      </c>
      <c r="Q72" s="10"/>
      <c r="R72" s="16">
        <f t="shared" si="28"/>
        <v>0</v>
      </c>
      <c r="S72" s="10"/>
      <c r="T72" s="40">
        <f t="shared" si="29"/>
        <v>0.9</v>
      </c>
      <c r="U72" s="8"/>
    </row>
    <row r="73" spans="1:21" ht="15.75" customHeight="1" x14ac:dyDescent="0.25">
      <c r="H73"/>
      <c r="J73"/>
      <c r="P73"/>
    </row>
    <row r="74" spans="1:21" ht="15.75" customHeight="1" x14ac:dyDescent="0.25">
      <c r="A74" s="510" t="s">
        <v>1383</v>
      </c>
      <c r="B74" s="504" t="s">
        <v>10</v>
      </c>
      <c r="C74" s="504"/>
      <c r="D74" s="504"/>
      <c r="E74" s="504"/>
      <c r="F74" s="504"/>
      <c r="H74" s="46" t="e">
        <f>COUNTIFS(tbl_cleaning[Housing Team],"HOUSING EAST TEAM 2",#REF!,"&lt;&gt;NV")</f>
        <v>#REF!</v>
      </c>
      <c r="I74" s="10"/>
      <c r="J74" s="46" t="e" cm="1">
        <f t="array" ref="J74">SUM(COUNTIFS(tbl_cleaning[Housing Team],"HOUSING EAST TEAM 2",#REF!,{"1","2","3","4"}))</f>
        <v>#REF!</v>
      </c>
      <c r="K74" s="10"/>
      <c r="L74" s="16" t="e">
        <f>J74/H74</f>
        <v>#REF!</v>
      </c>
      <c r="M74" s="10"/>
      <c r="N74" s="16">
        <f>$F$1</f>
        <v>1</v>
      </c>
      <c r="O74" s="8"/>
      <c r="P74" s="46" t="e">
        <f>COUNTIFS(tbl_cleaning[Housing Team],"HOUSING EAST TEAM 2",#REF!,3)+COUNTIFS(tbl_cleaning[Housing Team],"HOUSING EAST TEAM 2",#REF!,4)</f>
        <v>#REF!</v>
      </c>
      <c r="Q74" s="10"/>
      <c r="R74" s="16">
        <f t="shared" ref="R74:R77" si="30">IFERROR(P74/J74,0)</f>
        <v>0</v>
      </c>
      <c r="S74" s="10"/>
      <c r="T74" s="40">
        <f t="shared" ref="T74:T77" si="31">$Q$1</f>
        <v>0.9</v>
      </c>
      <c r="U74" s="8"/>
    </row>
    <row r="75" spans="1:21" ht="15.75" customHeight="1" x14ac:dyDescent="0.25">
      <c r="A75" s="512"/>
      <c r="B75" s="504" t="s">
        <v>11</v>
      </c>
      <c r="C75" s="504"/>
      <c r="D75" s="504"/>
      <c r="E75" s="504"/>
      <c r="F75" s="504"/>
      <c r="H75" s="46" t="e">
        <f>COUNTIFS(tbl_cleaning[Housing Team],"HOUSING EAST TEAM 2",#REF!,"&lt;&gt;NV")</f>
        <v>#REF!</v>
      </c>
      <c r="I75" s="10"/>
      <c r="J75" s="46" t="e" cm="1">
        <f t="array" ref="J75">SUM(COUNTIFS(tbl_cleaning[Housing Team],"HOUSING EAST TEAM 2",#REF!,{"1","2","3","4"}))</f>
        <v>#REF!</v>
      </c>
      <c r="K75" s="10"/>
      <c r="L75" s="16" t="e">
        <f>J75/H75</f>
        <v>#REF!</v>
      </c>
      <c r="M75" s="10"/>
      <c r="N75" s="16">
        <f>$F$1</f>
        <v>1</v>
      </c>
      <c r="O75" s="8"/>
      <c r="P75" s="46" t="e">
        <f>COUNTIFS(tbl_cleaning[Housing Team],"HOUSING EAST TEAM 2",#REF!,3)+COUNTIFS(tbl_cleaning[Housing Team],"HOUSING EAST TEAM 2",#REF!,4)</f>
        <v>#REF!</v>
      </c>
      <c r="Q75" s="10"/>
      <c r="R75" s="16">
        <f t="shared" si="30"/>
        <v>0</v>
      </c>
      <c r="S75" s="10"/>
      <c r="T75" s="40">
        <f t="shared" si="31"/>
        <v>0.9</v>
      </c>
      <c r="U75" s="8"/>
    </row>
    <row r="76" spans="1:21" ht="15.75" customHeight="1" x14ac:dyDescent="0.25">
      <c r="A76" s="512"/>
      <c r="B76" s="504" t="s">
        <v>12</v>
      </c>
      <c r="C76" s="504"/>
      <c r="D76" s="504"/>
      <c r="E76" s="504"/>
      <c r="F76" s="504"/>
      <c r="H76" s="46" t="e">
        <f>COUNTIFS(#REF!,"HOUSING EAST TEAM 2",#REF!,"&lt;&gt;NV")</f>
        <v>#REF!</v>
      </c>
      <c r="I76" s="10"/>
      <c r="J76" s="46" t="e">
        <f t="array" ref="J76">SUM(COUNTIFS(#REF!,"HOUSING EAST TEAM 2",#REF!,{"1","2","3","4"}))</f>
        <v>#REF!</v>
      </c>
      <c r="K76" s="10"/>
      <c r="L76" s="16" t="e">
        <f>J76/H76</f>
        <v>#REF!</v>
      </c>
      <c r="M76" s="10"/>
      <c r="N76" s="16">
        <f>$F$1</f>
        <v>1</v>
      </c>
      <c r="O76" s="8"/>
      <c r="P76" s="46" t="e">
        <f>COUNTIFS(#REF!,"HOUSING EAST TEAM 2",#REF!,3)+COUNTIFS(#REF!,"HOUSING EAST TEAM 2",#REF!,4)</f>
        <v>#REF!</v>
      </c>
      <c r="Q76" s="10"/>
      <c r="R76" s="16">
        <f t="shared" si="30"/>
        <v>0</v>
      </c>
      <c r="S76" s="10"/>
      <c r="T76" s="40">
        <f t="shared" si="31"/>
        <v>0.9</v>
      </c>
      <c r="U76" s="8"/>
    </row>
    <row r="77" spans="1:21" ht="15.75" customHeight="1" x14ac:dyDescent="0.25">
      <c r="A77" s="513"/>
      <c r="B77" s="504" t="s">
        <v>13</v>
      </c>
      <c r="C77" s="504"/>
      <c r="D77" s="504"/>
      <c r="E77" s="504"/>
      <c r="F77" s="504"/>
      <c r="H77" s="46" t="e">
        <f>H74+H75+H76</f>
        <v>#REF!</v>
      </c>
      <c r="I77" s="10"/>
      <c r="J77" s="46" t="e">
        <f>SUM(J74:J76)</f>
        <v>#REF!</v>
      </c>
      <c r="K77" s="10"/>
      <c r="L77" s="16" t="e">
        <f>J77/H77</f>
        <v>#REF!</v>
      </c>
      <c r="M77" s="10"/>
      <c r="N77" s="16">
        <f>$F$1</f>
        <v>1</v>
      </c>
      <c r="O77" s="8"/>
      <c r="P77" s="46" t="e">
        <f>SUM(P74:P76)</f>
        <v>#REF!</v>
      </c>
      <c r="Q77" s="10"/>
      <c r="R77" s="16">
        <f t="shared" si="30"/>
        <v>0</v>
      </c>
      <c r="S77" s="10"/>
      <c r="T77" s="40">
        <f t="shared" si="31"/>
        <v>0.9</v>
      </c>
      <c r="U77" s="8"/>
    </row>
    <row r="78" spans="1:21" ht="15.75" customHeight="1" x14ac:dyDescent="0.25">
      <c r="H78"/>
      <c r="J78"/>
      <c r="P78"/>
    </row>
    <row r="79" spans="1:21" ht="15.75" customHeight="1" x14ac:dyDescent="0.25">
      <c r="A79" s="510" t="s">
        <v>1365</v>
      </c>
      <c r="B79" s="504" t="s">
        <v>10</v>
      </c>
      <c r="C79" s="504"/>
      <c r="D79" s="504"/>
      <c r="E79" s="504"/>
      <c r="F79" s="504"/>
      <c r="H79" s="46" t="e">
        <f>COUNTIFS(tbl_cleaning[Housing Team],"HOUSING EAST TEAM 3",#REF!,"&lt;&gt;NV")</f>
        <v>#REF!</v>
      </c>
      <c r="I79" s="10"/>
      <c r="J79" s="46" t="e" cm="1">
        <f t="array" ref="J79">SUM(COUNTIFS(tbl_cleaning[Housing Team],"HOUSING EAST TEAM 3",#REF!,{"1","2","3","4"}))</f>
        <v>#REF!</v>
      </c>
      <c r="K79" s="10"/>
      <c r="L79" s="16" t="e">
        <f>J79/H79</f>
        <v>#REF!</v>
      </c>
      <c r="M79" s="10"/>
      <c r="N79" s="16">
        <f>$F$1</f>
        <v>1</v>
      </c>
      <c r="O79" s="8"/>
      <c r="P79" s="46" t="e">
        <f>COUNTIFS(tbl_cleaning[Housing Team],"HOUSING EAST TEAM 3",#REF!,3)+COUNTIFS(tbl_cleaning[Housing Team],"HOUSING EAST TEAM 3",#REF!,4)</f>
        <v>#REF!</v>
      </c>
      <c r="Q79" s="10"/>
      <c r="R79" s="16">
        <f t="shared" ref="R79:R82" si="32">IFERROR(P79/J79,0)</f>
        <v>0</v>
      </c>
      <c r="S79" s="10"/>
      <c r="T79" s="40">
        <f t="shared" ref="T79:T82" si="33">$Q$1</f>
        <v>0.9</v>
      </c>
      <c r="U79" s="8"/>
    </row>
    <row r="80" spans="1:21" ht="15.75" customHeight="1" x14ac:dyDescent="0.25">
      <c r="A80" s="512"/>
      <c r="B80" s="504" t="s">
        <v>11</v>
      </c>
      <c r="C80" s="504"/>
      <c r="D80" s="504"/>
      <c r="E80" s="504"/>
      <c r="F80" s="504"/>
      <c r="H80" s="46" t="e">
        <f>COUNTIFS(tbl_cleaning[Housing Team],"HOUSING EAST TEAM 3",#REF!,"&lt;&gt;NV")</f>
        <v>#REF!</v>
      </c>
      <c r="I80" s="10"/>
      <c r="J80" s="46" t="e" cm="1">
        <f t="array" ref="J80">SUM(COUNTIFS(tbl_cleaning[Housing Team],"HOUSING EAST TEAM 3",#REF!,{"1","2","3","4"}))</f>
        <v>#REF!</v>
      </c>
      <c r="K80" s="10"/>
      <c r="L80" s="16" t="e">
        <f>J80/H80</f>
        <v>#REF!</v>
      </c>
      <c r="M80" s="10"/>
      <c r="N80" s="16">
        <f>$F$1</f>
        <v>1</v>
      </c>
      <c r="O80" s="8"/>
      <c r="P80" s="46" t="e">
        <f>COUNTIFS(tbl_cleaning[Housing Team],"HOUSING EAST TEAM 3",#REF!,3)+COUNTIFS(tbl_cleaning[Housing Team],"HOUSING EAST TEAM 3",#REF!,4)</f>
        <v>#REF!</v>
      </c>
      <c r="Q80" s="10"/>
      <c r="R80" s="16">
        <f t="shared" si="32"/>
        <v>0</v>
      </c>
      <c r="S80" s="10"/>
      <c r="T80" s="40">
        <f t="shared" si="33"/>
        <v>0.9</v>
      </c>
      <c r="U80" s="8"/>
    </row>
    <row r="81" spans="1:21" ht="15.75" customHeight="1" x14ac:dyDescent="0.25">
      <c r="A81" s="512"/>
      <c r="B81" s="504" t="s">
        <v>12</v>
      </c>
      <c r="C81" s="504"/>
      <c r="D81" s="504"/>
      <c r="E81" s="504"/>
      <c r="F81" s="504"/>
      <c r="H81" s="46" t="e">
        <f>COUNTIFS(#REF!,"HOUSING EAST TEAM 3",#REF!,"&lt;&gt;NV")</f>
        <v>#REF!</v>
      </c>
      <c r="I81" s="10"/>
      <c r="J81" s="46" t="e">
        <f t="array" ref="J81">SUM(COUNTIFS(#REF!,"HOUSING EAST TEAM 3",#REF!,{"1","2","3","4"}))</f>
        <v>#REF!</v>
      </c>
      <c r="K81" s="10"/>
      <c r="L81" s="16" t="e">
        <f>J81/H81</f>
        <v>#REF!</v>
      </c>
      <c r="M81" s="10"/>
      <c r="N81" s="16">
        <f>$F$1</f>
        <v>1</v>
      </c>
      <c r="O81" s="8"/>
      <c r="P81" s="46" t="e">
        <f>COUNTIFS(#REF!,"HOUSING EAST TEAM 3",#REF!,3)+COUNTIFS(#REF!,"HOUSING EAST TEAM 3",#REF!,4)</f>
        <v>#REF!</v>
      </c>
      <c r="Q81" s="10"/>
      <c r="R81" s="16">
        <f t="shared" si="32"/>
        <v>0</v>
      </c>
      <c r="S81" s="10"/>
      <c r="T81" s="40">
        <f t="shared" si="33"/>
        <v>0.9</v>
      </c>
      <c r="U81" s="8"/>
    </row>
    <row r="82" spans="1:21" ht="15.75" customHeight="1" x14ac:dyDescent="0.25">
      <c r="A82" s="513"/>
      <c r="B82" s="504" t="s">
        <v>13</v>
      </c>
      <c r="C82" s="504"/>
      <c r="D82" s="504"/>
      <c r="E82" s="504"/>
      <c r="F82" s="504"/>
      <c r="H82" s="46" t="e">
        <f>H79+H80+H81</f>
        <v>#REF!</v>
      </c>
      <c r="I82" s="10"/>
      <c r="J82" s="46" t="e">
        <f>SUM(J79:J81)</f>
        <v>#REF!</v>
      </c>
      <c r="K82" s="10"/>
      <c r="L82" s="16" t="e">
        <f>J82/H82</f>
        <v>#REF!</v>
      </c>
      <c r="M82" s="10"/>
      <c r="N82" s="16">
        <f>$F$1</f>
        <v>1</v>
      </c>
      <c r="O82" s="8"/>
      <c r="P82" s="46" t="e">
        <f>SUM(P79:P81)</f>
        <v>#REF!</v>
      </c>
      <c r="Q82" s="10"/>
      <c r="R82" s="16">
        <f t="shared" si="32"/>
        <v>0</v>
      </c>
      <c r="S82" s="10"/>
      <c r="T82" s="40">
        <f t="shared" si="33"/>
        <v>0.9</v>
      </c>
      <c r="U82" s="8"/>
    </row>
    <row r="83" spans="1:21" ht="15.75" customHeight="1" x14ac:dyDescent="0.25">
      <c r="H83"/>
      <c r="J83"/>
      <c r="P83"/>
    </row>
    <row r="84" spans="1:21" ht="15.75" customHeight="1" x14ac:dyDescent="0.25">
      <c r="A84" s="510" t="s">
        <v>1378</v>
      </c>
      <c r="B84" s="504" t="s">
        <v>10</v>
      </c>
      <c r="C84" s="504"/>
      <c r="D84" s="504"/>
      <c r="E84" s="504"/>
      <c r="F84" s="504"/>
      <c r="H84" s="46" t="e">
        <f>COUNTIFS(tbl_cleaning[Housing Team],"HOUSING EAST TEAM 4",#REF!,"&lt;&gt;NV")</f>
        <v>#REF!</v>
      </c>
      <c r="I84" s="10"/>
      <c r="J84" s="46" t="e" cm="1">
        <f t="array" ref="J84">SUM(COUNTIFS(tbl_cleaning[Housing Team],"HOUSING EAST TEAM 4",#REF!,{"1","2","3","4"}))</f>
        <v>#REF!</v>
      </c>
      <c r="K84" s="10"/>
      <c r="L84" s="16" t="e">
        <f>J84/H84</f>
        <v>#REF!</v>
      </c>
      <c r="M84" s="10"/>
      <c r="N84" s="16">
        <f>$F$1</f>
        <v>1</v>
      </c>
      <c r="O84" s="8"/>
      <c r="P84" s="46" t="e">
        <f>COUNTIFS(tbl_cleaning[Housing Team],"HOUSING EAST TEAM 4",#REF!,3)+COUNTIFS(tbl_cleaning[Housing Team],"HOUSING EAST TEAM 4",#REF!,4)</f>
        <v>#REF!</v>
      </c>
      <c r="Q84" s="10"/>
      <c r="R84" s="16">
        <f t="shared" ref="R84:R87" si="34">IFERROR(P84/J84,0)</f>
        <v>0</v>
      </c>
      <c r="S84" s="10"/>
      <c r="T84" s="40">
        <f t="shared" ref="T84:T87" si="35">$Q$1</f>
        <v>0.9</v>
      </c>
      <c r="U84" s="8"/>
    </row>
    <row r="85" spans="1:21" ht="15.75" customHeight="1" x14ac:dyDescent="0.25">
      <c r="A85" s="512"/>
      <c r="B85" s="504" t="s">
        <v>11</v>
      </c>
      <c r="C85" s="504"/>
      <c r="D85" s="504"/>
      <c r="E85" s="504"/>
      <c r="F85" s="504"/>
      <c r="H85" s="46" t="e">
        <f>COUNTIFS(tbl_cleaning[Housing Team],"HOUSING EAST TEAM 4",#REF!,"&lt;&gt;NV")</f>
        <v>#REF!</v>
      </c>
      <c r="I85" s="10"/>
      <c r="J85" s="46" t="e" cm="1">
        <f t="array" ref="J85">SUM(COUNTIFS(tbl_cleaning[Housing Team],"HOUSING EAST TEAM 4",#REF!,{"1","2","3","4"}))</f>
        <v>#REF!</v>
      </c>
      <c r="K85" s="10"/>
      <c r="L85" s="16" t="e">
        <f>J85/H85</f>
        <v>#REF!</v>
      </c>
      <c r="M85" s="10"/>
      <c r="N85" s="16">
        <f>$F$1</f>
        <v>1</v>
      </c>
      <c r="O85" s="8"/>
      <c r="P85" s="46" t="e">
        <f>COUNTIFS(tbl_cleaning[Housing Team],"HOUSING EAST TEAM 4",#REF!,3)+COUNTIFS(tbl_cleaning[Housing Team],"HOUSING EAST TEAM 4",#REF!,4)</f>
        <v>#REF!</v>
      </c>
      <c r="Q85" s="10"/>
      <c r="R85" s="16">
        <f t="shared" si="34"/>
        <v>0</v>
      </c>
      <c r="S85" s="10"/>
      <c r="T85" s="40">
        <f t="shared" si="35"/>
        <v>0.9</v>
      </c>
      <c r="U85" s="8"/>
    </row>
    <row r="86" spans="1:21" ht="15.75" customHeight="1" x14ac:dyDescent="0.25">
      <c r="A86" s="512"/>
      <c r="B86" s="504" t="s">
        <v>12</v>
      </c>
      <c r="C86" s="504"/>
      <c r="D86" s="504"/>
      <c r="E86" s="504"/>
      <c r="F86" s="504"/>
      <c r="H86" s="46" t="e">
        <f>COUNTIFS(#REF!,"HOUSING EAST TEAM 4",#REF!,"&lt;&gt;NV")</f>
        <v>#REF!</v>
      </c>
      <c r="I86" s="10"/>
      <c r="J86" s="46" t="e">
        <f t="array" ref="J86">SUM(COUNTIFS(#REF!,"HOUSING EAST TEAM 4",#REF!,{"1","2","3","4"}))</f>
        <v>#REF!</v>
      </c>
      <c r="K86" s="10"/>
      <c r="L86" s="16" t="e">
        <f>J86/H86</f>
        <v>#REF!</v>
      </c>
      <c r="M86" s="10"/>
      <c r="N86" s="16">
        <f>$F$1</f>
        <v>1</v>
      </c>
      <c r="O86" s="8"/>
      <c r="P86" s="46" t="e">
        <f>COUNTIFS(#REF!,"HOUSING EAST TEAM 4",#REF!,3)+COUNTIFS(#REF!,"HOUSING EAST TEAM 4",#REF!,4)</f>
        <v>#REF!</v>
      </c>
      <c r="Q86" s="10"/>
      <c r="R86" s="16">
        <f t="shared" si="34"/>
        <v>0</v>
      </c>
      <c r="S86" s="10"/>
      <c r="T86" s="40">
        <f t="shared" si="35"/>
        <v>0.9</v>
      </c>
      <c r="U86" s="8"/>
    </row>
    <row r="87" spans="1:21" ht="15.75" customHeight="1" x14ac:dyDescent="0.25">
      <c r="A87" s="513"/>
      <c r="B87" s="504" t="s">
        <v>13</v>
      </c>
      <c r="C87" s="504"/>
      <c r="D87" s="504"/>
      <c r="E87" s="504"/>
      <c r="F87" s="504"/>
      <c r="H87" s="46" t="e">
        <f>H84+H85+H86</f>
        <v>#REF!</v>
      </c>
      <c r="I87" s="10"/>
      <c r="J87" s="46" t="e">
        <f>SUM(J84:J86)</f>
        <v>#REF!</v>
      </c>
      <c r="K87" s="10"/>
      <c r="L87" s="16" t="e">
        <f>J87/H87</f>
        <v>#REF!</v>
      </c>
      <c r="M87" s="10"/>
      <c r="N87" s="16">
        <f>$F$1</f>
        <v>1</v>
      </c>
      <c r="O87" s="8"/>
      <c r="P87" s="46" t="e">
        <f>SUM(P84:P86)</f>
        <v>#REF!</v>
      </c>
      <c r="Q87" s="10"/>
      <c r="R87" s="16">
        <f t="shared" si="34"/>
        <v>0</v>
      </c>
      <c r="S87" s="10"/>
      <c r="T87" s="40">
        <f t="shared" si="35"/>
        <v>0.9</v>
      </c>
      <c r="U87" s="8"/>
    </row>
    <row r="88" spans="1:21" ht="15.75" customHeight="1" x14ac:dyDescent="0.25">
      <c r="H88"/>
      <c r="J88"/>
      <c r="P88"/>
    </row>
    <row r="89" spans="1:21" ht="15.75" customHeight="1" x14ac:dyDescent="0.25">
      <c r="A89" s="514" t="s">
        <v>1372</v>
      </c>
      <c r="B89" s="504" t="s">
        <v>10</v>
      </c>
      <c r="C89" s="504"/>
      <c r="D89" s="504"/>
      <c r="E89" s="504"/>
      <c r="F89" s="504"/>
      <c r="H89" s="46" t="e">
        <f>COUNTIFS(tbl_cleaning[Housing Team],"HOUSING NORTH TEAM 1",#REF!,"&lt;&gt;NV")</f>
        <v>#REF!</v>
      </c>
      <c r="I89" s="10"/>
      <c r="J89" s="46" t="e" cm="1">
        <f t="array" ref="J89">SUM(COUNTIFS(tbl_cleaning[Housing Team],"HOUSING NORTH TEAM 1",#REF!,{"1","2","3","4"}))</f>
        <v>#REF!</v>
      </c>
      <c r="K89" s="10"/>
      <c r="L89" s="16" t="e">
        <f>J89/H89</f>
        <v>#REF!</v>
      </c>
      <c r="M89" s="10"/>
      <c r="N89" s="16">
        <f>$F$1</f>
        <v>1</v>
      </c>
      <c r="O89" s="8"/>
      <c r="P89" s="46" t="e">
        <f>COUNTIFS(tbl_cleaning[Housing Team],"HOUSING NORTH TEAM 1",#REF!,3)+COUNTIFS(tbl_cleaning[Housing Team],"HOUSING NORTH TEAM 1",#REF!,4)</f>
        <v>#REF!</v>
      </c>
      <c r="Q89" s="10"/>
      <c r="R89" s="16">
        <f t="shared" ref="R89:R92" si="36">IFERROR(P89/J89,0)</f>
        <v>0</v>
      </c>
      <c r="S89" s="10"/>
      <c r="T89" s="40">
        <f t="shared" ref="T89:T92" si="37">$Q$1</f>
        <v>0.9</v>
      </c>
      <c r="U89" s="8"/>
    </row>
    <row r="90" spans="1:21" ht="15.75" customHeight="1" x14ac:dyDescent="0.25">
      <c r="A90" s="515"/>
      <c r="B90" s="504" t="s">
        <v>11</v>
      </c>
      <c r="C90" s="504"/>
      <c r="D90" s="504"/>
      <c r="E90" s="504"/>
      <c r="F90" s="504"/>
      <c r="H90" s="46" t="e">
        <f>COUNTIFS(tbl_cleaning[Housing Team],"HOUSING NORTH TEAM 1",#REF!,"&lt;&gt;NV")</f>
        <v>#REF!</v>
      </c>
      <c r="I90" s="10"/>
      <c r="J90" s="46" t="e" cm="1">
        <f t="array" ref="J90">SUM(COUNTIFS(tbl_cleaning[Housing Team],"HOUSING NORTH TEAM 1",#REF!,{"1","2","3","4"}))</f>
        <v>#REF!</v>
      </c>
      <c r="K90" s="10"/>
      <c r="L90" s="16" t="e">
        <f>J90/H90</f>
        <v>#REF!</v>
      </c>
      <c r="M90" s="10"/>
      <c r="N90" s="16">
        <f>$F$1</f>
        <v>1</v>
      </c>
      <c r="O90" s="8"/>
      <c r="P90" s="46" t="e">
        <f>COUNTIFS(tbl_cleaning[Housing Team],"HOUSING NORTH TEAM 1",#REF!,3)+COUNTIFS(tbl_cleaning[Housing Team],"HOUSING NORTH TEAM 1",#REF!,4)</f>
        <v>#REF!</v>
      </c>
      <c r="Q90" s="10"/>
      <c r="R90" s="16">
        <f t="shared" si="36"/>
        <v>0</v>
      </c>
      <c r="S90" s="10"/>
      <c r="T90" s="40">
        <f t="shared" si="37"/>
        <v>0.9</v>
      </c>
      <c r="U90" s="8"/>
    </row>
    <row r="91" spans="1:21" ht="15.75" customHeight="1" x14ac:dyDescent="0.25">
      <c r="A91" s="515"/>
      <c r="B91" s="504" t="s">
        <v>12</v>
      </c>
      <c r="C91" s="504"/>
      <c r="D91" s="504"/>
      <c r="E91" s="504"/>
      <c r="F91" s="504"/>
      <c r="H91" s="46" t="e">
        <f>COUNTIFS(#REF!,"HOUSING NORTH TEAM 1",#REF!,"&lt;&gt;NV")</f>
        <v>#REF!</v>
      </c>
      <c r="I91" s="10"/>
      <c r="J91" s="46" t="e">
        <f t="array" ref="J91">SUM(COUNTIFS(#REF!,"HOUSING NORTH TEAM 1",#REF!,{"1","2","3","4"}))</f>
        <v>#REF!</v>
      </c>
      <c r="K91" s="10"/>
      <c r="L91" s="16" t="e">
        <f>J91/H91</f>
        <v>#REF!</v>
      </c>
      <c r="M91" s="10"/>
      <c r="N91" s="16">
        <f>$F$1</f>
        <v>1</v>
      </c>
      <c r="O91" s="8"/>
      <c r="P91" s="46" t="e">
        <f>COUNTIFS(#REF!,"HOUSING NORTH TEAM 1",#REF!,3)+COUNTIFS(#REF!,"HOUSING NORTH TEAM 1",#REF!,4)</f>
        <v>#REF!</v>
      </c>
      <c r="Q91" s="10"/>
      <c r="R91" s="16">
        <f t="shared" si="36"/>
        <v>0</v>
      </c>
      <c r="S91" s="10"/>
      <c r="T91" s="40">
        <f t="shared" si="37"/>
        <v>0.9</v>
      </c>
      <c r="U91" s="8"/>
    </row>
    <row r="92" spans="1:21" ht="15.75" customHeight="1" x14ac:dyDescent="0.25">
      <c r="A92" s="516"/>
      <c r="B92" s="504" t="s">
        <v>13</v>
      </c>
      <c r="C92" s="504"/>
      <c r="D92" s="504"/>
      <c r="E92" s="504"/>
      <c r="F92" s="504"/>
      <c r="H92" s="46" t="e">
        <f>H89+H90+H91</f>
        <v>#REF!</v>
      </c>
      <c r="I92" s="10"/>
      <c r="J92" s="46" t="e">
        <f>SUM(J89:J91)</f>
        <v>#REF!</v>
      </c>
      <c r="K92" s="10"/>
      <c r="L92" s="16" t="e">
        <f>J92/H92</f>
        <v>#REF!</v>
      </c>
      <c r="M92" s="10"/>
      <c r="N92" s="16">
        <f>$F$1</f>
        <v>1</v>
      </c>
      <c r="O92" s="8"/>
      <c r="P92" s="46" t="e">
        <f>SUM(P89:P91)</f>
        <v>#REF!</v>
      </c>
      <c r="Q92" s="10"/>
      <c r="R92" s="16">
        <f t="shared" si="36"/>
        <v>0</v>
      </c>
      <c r="S92" s="10"/>
      <c r="T92" s="40">
        <f t="shared" si="37"/>
        <v>0.9</v>
      </c>
      <c r="U92" s="8"/>
    </row>
    <row r="93" spans="1:21" ht="15.75" customHeight="1" x14ac:dyDescent="0.25">
      <c r="H93"/>
      <c r="J93"/>
      <c r="P93"/>
    </row>
    <row r="94" spans="1:21" ht="15.75" customHeight="1" x14ac:dyDescent="0.25">
      <c r="A94" s="514" t="s">
        <v>1368</v>
      </c>
      <c r="B94" s="504" t="s">
        <v>10</v>
      </c>
      <c r="C94" s="504"/>
      <c r="D94" s="504"/>
      <c r="E94" s="504"/>
      <c r="F94" s="504"/>
      <c r="H94" s="46" t="e">
        <f>COUNTIFS(tbl_cleaning[Housing Team],"HOUSING NORTH TEAM 2",#REF!,"&lt;&gt;NV")</f>
        <v>#REF!</v>
      </c>
      <c r="I94" s="10"/>
      <c r="J94" s="46" t="e" cm="1">
        <f t="array" ref="J94">SUM(COUNTIFS(tbl_cleaning[Housing Team],"HOUSING NORTH TEAM 2",#REF!,{"1","2","3","4"}))</f>
        <v>#REF!</v>
      </c>
      <c r="K94" s="10"/>
      <c r="L94" s="16" t="e">
        <f>J94/H94</f>
        <v>#REF!</v>
      </c>
      <c r="M94" s="10"/>
      <c r="N94" s="16">
        <f>$F$1</f>
        <v>1</v>
      </c>
      <c r="O94" s="8"/>
      <c r="P94" s="46" t="e">
        <f>COUNTIFS(tbl_cleaning[Housing Team],"HOUSING NORTH TEAM 2",#REF!,3)+COUNTIFS(tbl_cleaning[Housing Team],"HOUSING NORTH TEAM 2",#REF!,4)</f>
        <v>#REF!</v>
      </c>
      <c r="Q94" s="10"/>
      <c r="R94" s="16">
        <f t="shared" ref="R94:R97" si="38">IFERROR(P94/J94,0)</f>
        <v>0</v>
      </c>
      <c r="S94" s="10"/>
      <c r="T94" s="40">
        <f t="shared" ref="T94:T97" si="39">$Q$1</f>
        <v>0.9</v>
      </c>
      <c r="U94" s="8"/>
    </row>
    <row r="95" spans="1:21" ht="15.75" customHeight="1" x14ac:dyDescent="0.25">
      <c r="A95" s="515"/>
      <c r="B95" s="504" t="s">
        <v>11</v>
      </c>
      <c r="C95" s="504"/>
      <c r="D95" s="504"/>
      <c r="E95" s="504"/>
      <c r="F95" s="504"/>
      <c r="H95" s="46" t="e">
        <f>COUNTIFS(tbl_cleaning[Housing Team],"HOUSING NORTH TEAM 2",#REF!,"&lt;&gt;NV")</f>
        <v>#REF!</v>
      </c>
      <c r="I95" s="10"/>
      <c r="J95" s="46" t="e" cm="1">
        <f t="array" ref="J95">SUM(COUNTIFS(tbl_cleaning[Housing Team],"HOUSING NORTH TEAM 2",#REF!,{"1","2","3","4"}))</f>
        <v>#REF!</v>
      </c>
      <c r="K95" s="10"/>
      <c r="L95" s="16" t="e">
        <f>J95/H95</f>
        <v>#REF!</v>
      </c>
      <c r="M95" s="10"/>
      <c r="N95" s="16">
        <f>$F$1</f>
        <v>1</v>
      </c>
      <c r="O95" s="8"/>
      <c r="P95" s="46" t="e">
        <f>COUNTIFS(tbl_cleaning[Housing Team],"HOUSING NORTH TEAM 2",#REF!,3)+COUNTIFS(tbl_cleaning[Housing Team],"HOUSING NORTH TEAM 2",#REF!,4)</f>
        <v>#REF!</v>
      </c>
      <c r="Q95" s="10"/>
      <c r="R95" s="16">
        <f t="shared" si="38"/>
        <v>0</v>
      </c>
      <c r="S95" s="10"/>
      <c r="T95" s="40">
        <f t="shared" si="39"/>
        <v>0.9</v>
      </c>
      <c r="U95" s="8"/>
    </row>
    <row r="96" spans="1:21" ht="15.75" customHeight="1" x14ac:dyDescent="0.25">
      <c r="A96" s="515"/>
      <c r="B96" s="504" t="s">
        <v>12</v>
      </c>
      <c r="C96" s="504"/>
      <c r="D96" s="504"/>
      <c r="E96" s="504"/>
      <c r="F96" s="504"/>
      <c r="H96" s="46" t="e">
        <f>COUNTIFS(#REF!,"HOUSING NORTH TEAM 2",#REF!,"&lt;&gt;NV")</f>
        <v>#REF!</v>
      </c>
      <c r="I96" s="10"/>
      <c r="J96" s="46" t="e">
        <f t="array" ref="J96">SUM(COUNTIFS(#REF!,"HOUSING NORTH TEAM 2",#REF!,{"1","2","3","4"}))</f>
        <v>#REF!</v>
      </c>
      <c r="K96" s="10"/>
      <c r="L96" s="16" t="e">
        <f>J96/H96</f>
        <v>#REF!</v>
      </c>
      <c r="M96" s="10"/>
      <c r="N96" s="16">
        <f>$F$1</f>
        <v>1</v>
      </c>
      <c r="O96" s="8"/>
      <c r="P96" s="46" t="e">
        <f>COUNTIFS(#REF!,"HOUSING NORTH TEAM 2",#REF!,3)+COUNTIFS(#REF!,"HOUSING NORTH TEAM 2",#REF!,4)</f>
        <v>#REF!</v>
      </c>
      <c r="Q96" s="10"/>
      <c r="R96" s="16">
        <f t="shared" si="38"/>
        <v>0</v>
      </c>
      <c r="S96" s="10"/>
      <c r="T96" s="40">
        <f t="shared" si="39"/>
        <v>0.9</v>
      </c>
      <c r="U96" s="8"/>
    </row>
    <row r="97" spans="1:21" ht="15.75" customHeight="1" x14ac:dyDescent="0.25">
      <c r="A97" s="516"/>
      <c r="B97" s="504" t="s">
        <v>13</v>
      </c>
      <c r="C97" s="504"/>
      <c r="D97" s="504"/>
      <c r="E97" s="504"/>
      <c r="F97" s="504"/>
      <c r="H97" s="46" t="e">
        <f>H94+H95+H96</f>
        <v>#REF!</v>
      </c>
      <c r="I97" s="10"/>
      <c r="J97" s="46" t="e">
        <f>SUM(J94:J96)</f>
        <v>#REF!</v>
      </c>
      <c r="K97" s="10"/>
      <c r="L97" s="16" t="e">
        <f>J97/H97</f>
        <v>#REF!</v>
      </c>
      <c r="M97" s="10"/>
      <c r="N97" s="16">
        <f>$F$1</f>
        <v>1</v>
      </c>
      <c r="O97" s="8"/>
      <c r="P97" s="46" t="e">
        <f>SUM(P94:P96)</f>
        <v>#REF!</v>
      </c>
      <c r="Q97" s="10"/>
      <c r="R97" s="16">
        <f t="shared" si="38"/>
        <v>0</v>
      </c>
      <c r="S97" s="10"/>
      <c r="T97" s="40">
        <f t="shared" si="39"/>
        <v>0.9</v>
      </c>
      <c r="U97" s="8"/>
    </row>
    <row r="98" spans="1:21" ht="15.75" customHeight="1" x14ac:dyDescent="0.25">
      <c r="H98"/>
      <c r="J98"/>
      <c r="P98"/>
    </row>
    <row r="99" spans="1:21" ht="15.75" customHeight="1" x14ac:dyDescent="0.25">
      <c r="A99" s="514" t="s">
        <v>1380</v>
      </c>
      <c r="B99" s="504" t="s">
        <v>10</v>
      </c>
      <c r="C99" s="504"/>
      <c r="D99" s="504"/>
      <c r="E99" s="504"/>
      <c r="F99" s="504"/>
      <c r="H99" s="46" t="e">
        <f>COUNTIFS(tbl_cleaning[Housing Team],"HOUSING NORTH TEAM 3",#REF!,"&lt;&gt;NV")</f>
        <v>#REF!</v>
      </c>
      <c r="I99" s="10"/>
      <c r="J99" s="46" t="e" cm="1">
        <f t="array" ref="J99">SUM(COUNTIFS(tbl_cleaning[Housing Team],"HOUSING NORTH TEAM 3",#REF!,{"1","2","3","4"}))</f>
        <v>#REF!</v>
      </c>
      <c r="K99" s="10"/>
      <c r="L99" s="16" t="e">
        <f>J99/H99</f>
        <v>#REF!</v>
      </c>
      <c r="M99" s="10"/>
      <c r="N99" s="16">
        <f>$F$1</f>
        <v>1</v>
      </c>
      <c r="O99" s="8"/>
      <c r="P99" s="46" t="e">
        <f>COUNTIFS(tbl_cleaning[Housing Team],"HOUSING NORTH TEAM 3",#REF!,3)+COUNTIFS(tbl_cleaning[Housing Team],"HOUSING NORTH TEAM 3",#REF!,4)</f>
        <v>#REF!</v>
      </c>
      <c r="Q99" s="10"/>
      <c r="R99" s="16">
        <f t="shared" ref="R99:R102" si="40">IFERROR(P99/J99,0)</f>
        <v>0</v>
      </c>
      <c r="S99" s="10"/>
      <c r="T99" s="40">
        <f t="shared" ref="T99:T102" si="41">$Q$1</f>
        <v>0.9</v>
      </c>
      <c r="U99" s="8"/>
    </row>
    <row r="100" spans="1:21" ht="15.75" customHeight="1" x14ac:dyDescent="0.25">
      <c r="A100" s="515"/>
      <c r="B100" s="504" t="s">
        <v>11</v>
      </c>
      <c r="C100" s="504"/>
      <c r="D100" s="504"/>
      <c r="E100" s="504"/>
      <c r="F100" s="504"/>
      <c r="H100" s="46" t="e">
        <f>COUNTIFS(tbl_cleaning[Housing Team],"HOUSING NORTH TEAM 3",#REF!,"&lt;&gt;NV")</f>
        <v>#REF!</v>
      </c>
      <c r="I100" s="10"/>
      <c r="J100" s="46" t="e" cm="1">
        <f t="array" ref="J100">SUM(COUNTIFS(tbl_cleaning[Housing Team],"HOUSING NORTH TEAM 3",#REF!,{"1","2","3","4"}))</f>
        <v>#REF!</v>
      </c>
      <c r="K100" s="10"/>
      <c r="L100" s="16" t="e">
        <f>J100/H100</f>
        <v>#REF!</v>
      </c>
      <c r="M100" s="10"/>
      <c r="N100" s="16">
        <f>$F$1</f>
        <v>1</v>
      </c>
      <c r="O100" s="8"/>
      <c r="P100" s="46" t="e">
        <f>COUNTIFS(tbl_cleaning[Housing Team],"HOUSING NORTH TEAM 3",#REF!,3)+COUNTIFS(tbl_cleaning[Housing Team],"HOUSING NORTH TEAM 3",#REF!,4)</f>
        <v>#REF!</v>
      </c>
      <c r="Q100" s="10"/>
      <c r="R100" s="16">
        <f t="shared" si="40"/>
        <v>0</v>
      </c>
      <c r="S100" s="10"/>
      <c r="T100" s="40">
        <f t="shared" si="41"/>
        <v>0.9</v>
      </c>
      <c r="U100" s="8"/>
    </row>
    <row r="101" spans="1:21" ht="15.75" customHeight="1" x14ac:dyDescent="0.25">
      <c r="A101" s="515"/>
      <c r="B101" s="504" t="s">
        <v>12</v>
      </c>
      <c r="C101" s="504"/>
      <c r="D101" s="504"/>
      <c r="E101" s="504"/>
      <c r="F101" s="504"/>
      <c r="H101" s="46" t="e">
        <f>COUNTIFS(#REF!,"HOUSING NORTH TEAM 3",#REF!,"&lt;&gt;NV")</f>
        <v>#REF!</v>
      </c>
      <c r="I101" s="10"/>
      <c r="J101" s="46" t="e">
        <f t="array" ref="J101">SUM(COUNTIFS(#REF!,"HOUSING NORTH TEAM 3",#REF!,{"1","2","3","4"}))</f>
        <v>#REF!</v>
      </c>
      <c r="K101" s="10"/>
      <c r="L101" s="16" t="e">
        <f>J101/H101</f>
        <v>#REF!</v>
      </c>
      <c r="M101" s="10"/>
      <c r="N101" s="16">
        <f>$F$1</f>
        <v>1</v>
      </c>
      <c r="O101" s="8"/>
      <c r="P101" s="46" t="e">
        <f>COUNTIFS(#REF!,"HOUSING NORTH TEAM 3",#REF!,3)+COUNTIFS(#REF!,"HOUSING NORTH TEAM 3",#REF!,4)</f>
        <v>#REF!</v>
      </c>
      <c r="Q101" s="10"/>
      <c r="R101" s="16">
        <f t="shared" si="40"/>
        <v>0</v>
      </c>
      <c r="S101" s="10"/>
      <c r="T101" s="40">
        <f t="shared" si="41"/>
        <v>0.9</v>
      </c>
      <c r="U101" s="8"/>
    </row>
    <row r="102" spans="1:21" ht="15.75" customHeight="1" x14ac:dyDescent="0.25">
      <c r="A102" s="516"/>
      <c r="B102" s="504" t="s">
        <v>13</v>
      </c>
      <c r="C102" s="504"/>
      <c r="D102" s="504"/>
      <c r="E102" s="504"/>
      <c r="F102" s="504"/>
      <c r="H102" s="46" t="e">
        <f>H99+H100+H101</f>
        <v>#REF!</v>
      </c>
      <c r="I102" s="10"/>
      <c r="J102" s="46" t="e">
        <f>SUM(J99:J101)</f>
        <v>#REF!</v>
      </c>
      <c r="K102" s="10"/>
      <c r="L102" s="16" t="e">
        <f>J102/H102</f>
        <v>#REF!</v>
      </c>
      <c r="M102" s="10"/>
      <c r="N102" s="16">
        <f>$F$1</f>
        <v>1</v>
      </c>
      <c r="O102" s="8"/>
      <c r="P102" s="46" t="e">
        <f>SUM(P99:P101)</f>
        <v>#REF!</v>
      </c>
      <c r="Q102" s="10"/>
      <c r="R102" s="16">
        <f t="shared" si="40"/>
        <v>0</v>
      </c>
      <c r="S102" s="10"/>
      <c r="T102" s="40">
        <f t="shared" si="41"/>
        <v>0.9</v>
      </c>
      <c r="U102" s="8"/>
    </row>
    <row r="103" spans="1:21" ht="15.75" customHeight="1" x14ac:dyDescent="0.25">
      <c r="H103"/>
      <c r="J103"/>
      <c r="P103"/>
    </row>
    <row r="104" spans="1:21" ht="15.75" customHeight="1" x14ac:dyDescent="0.25">
      <c r="A104" s="514" t="s">
        <v>1364</v>
      </c>
      <c r="B104" s="504" t="s">
        <v>10</v>
      </c>
      <c r="C104" s="504"/>
      <c r="D104" s="504"/>
      <c r="E104" s="504"/>
      <c r="F104" s="504"/>
      <c r="H104" s="46" t="e">
        <f>COUNTIFS(tbl_cleaning[Housing Team],"HOUSING NORTH TEAM 4",#REF!,"&lt;&gt;NV")</f>
        <v>#REF!</v>
      </c>
      <c r="I104" s="10"/>
      <c r="J104" s="46" t="e" cm="1">
        <f t="array" ref="J104">SUM(COUNTIFS(tbl_cleaning[Housing Team],"HOUSING NORTH TEAM 4",#REF!,{"1","2","3","4"}))</f>
        <v>#REF!</v>
      </c>
      <c r="K104" s="10"/>
      <c r="L104" s="16" t="e">
        <f>J104/H104</f>
        <v>#REF!</v>
      </c>
      <c r="M104" s="10"/>
      <c r="N104" s="16">
        <f>$F$1</f>
        <v>1</v>
      </c>
      <c r="O104" s="8"/>
      <c r="P104" s="46" t="e">
        <f>COUNTIFS(tbl_cleaning[Housing Team],"HOUSING NORTH TEAM 4",#REF!,3)+COUNTIFS(tbl_cleaning[Housing Team],"HOUSING NORTH TEAM 4",#REF!,4)</f>
        <v>#REF!</v>
      </c>
      <c r="Q104" s="10"/>
      <c r="R104" s="16">
        <f t="shared" ref="R104:R107" si="42">IFERROR(P104/J104,0)</f>
        <v>0</v>
      </c>
      <c r="S104" s="10"/>
      <c r="T104" s="40">
        <f t="shared" ref="T104:T107" si="43">$Q$1</f>
        <v>0.9</v>
      </c>
      <c r="U104" s="8"/>
    </row>
    <row r="105" spans="1:21" ht="15.75" customHeight="1" x14ac:dyDescent="0.25">
      <c r="A105" s="515"/>
      <c r="B105" s="504" t="s">
        <v>11</v>
      </c>
      <c r="C105" s="504"/>
      <c r="D105" s="504"/>
      <c r="E105" s="504"/>
      <c r="F105" s="504"/>
      <c r="H105" s="46" t="e">
        <f>COUNTIFS(tbl_cleaning[Housing Team],"HOUSING NORTH TEAM 4",#REF!,"&lt;&gt;NV")</f>
        <v>#REF!</v>
      </c>
      <c r="I105" s="10"/>
      <c r="J105" s="46" t="e" cm="1">
        <f t="array" ref="J105">SUM(COUNTIFS(tbl_cleaning[Housing Team],"HOUSING NORTH TEAM 4",#REF!,{"1","2","3","4"}))</f>
        <v>#REF!</v>
      </c>
      <c r="K105" s="10"/>
      <c r="L105" s="16" t="e">
        <f>J105/H105</f>
        <v>#REF!</v>
      </c>
      <c r="M105" s="10"/>
      <c r="N105" s="16">
        <f>$F$1</f>
        <v>1</v>
      </c>
      <c r="O105" s="8"/>
      <c r="P105" s="46" t="e">
        <f>COUNTIFS(tbl_cleaning[Housing Team],"HOUSING NORTH TEAM 4",#REF!,3)+COUNTIFS(tbl_cleaning[Housing Team],"HOUSING NORTH TEAM 4",#REF!,4)</f>
        <v>#REF!</v>
      </c>
      <c r="Q105" s="10"/>
      <c r="R105" s="16">
        <f t="shared" si="42"/>
        <v>0</v>
      </c>
      <c r="S105" s="10"/>
      <c r="T105" s="40">
        <f t="shared" si="43"/>
        <v>0.9</v>
      </c>
      <c r="U105" s="8"/>
    </row>
    <row r="106" spans="1:21" ht="15.75" customHeight="1" x14ac:dyDescent="0.25">
      <c r="A106" s="515"/>
      <c r="B106" s="504" t="s">
        <v>12</v>
      </c>
      <c r="C106" s="504"/>
      <c r="D106" s="504"/>
      <c r="E106" s="504"/>
      <c r="F106" s="504"/>
      <c r="H106" s="46" t="e">
        <f>COUNTIFS(#REF!,"HOUSING NORTH TEAM 4",#REF!,"&lt;&gt;NV")</f>
        <v>#REF!</v>
      </c>
      <c r="I106" s="10"/>
      <c r="J106" s="46" t="e">
        <f t="array" ref="J106">SUM(COUNTIFS(#REF!,"HOUSING NORTH TEAM 4",#REF!,{"1","2","3","4"}))</f>
        <v>#REF!</v>
      </c>
      <c r="K106" s="10"/>
      <c r="L106" s="16" t="e">
        <f>J106/H106</f>
        <v>#REF!</v>
      </c>
      <c r="M106" s="10"/>
      <c r="N106" s="16">
        <f>$F$1</f>
        <v>1</v>
      </c>
      <c r="O106" s="8"/>
      <c r="P106" s="46" t="e">
        <f>COUNTIFS(#REF!,"HOUSING NORTH TEAM 4",#REF!,3)+COUNTIFS(#REF!,"HOUSING NORTH TEAM 4",#REF!,4)</f>
        <v>#REF!</v>
      </c>
      <c r="Q106" s="10"/>
      <c r="R106" s="16">
        <f t="shared" si="42"/>
        <v>0</v>
      </c>
      <c r="S106" s="10"/>
      <c r="T106" s="40">
        <f t="shared" si="43"/>
        <v>0.9</v>
      </c>
      <c r="U106" s="8"/>
    </row>
    <row r="107" spans="1:21" ht="15.75" customHeight="1" x14ac:dyDescent="0.25">
      <c r="A107" s="516"/>
      <c r="B107" s="504" t="s">
        <v>13</v>
      </c>
      <c r="C107" s="504"/>
      <c r="D107" s="504"/>
      <c r="E107" s="504"/>
      <c r="F107" s="504"/>
      <c r="H107" s="46" t="e">
        <f>H104+H105+H106</f>
        <v>#REF!</v>
      </c>
      <c r="I107" s="10"/>
      <c r="J107" s="46" t="e">
        <f>SUM(J104:J106)</f>
        <v>#REF!</v>
      </c>
      <c r="K107" s="10"/>
      <c r="L107" s="16" t="e">
        <f>J107/H107</f>
        <v>#REF!</v>
      </c>
      <c r="M107" s="10"/>
      <c r="N107" s="16">
        <f>$F$1</f>
        <v>1</v>
      </c>
      <c r="O107" s="8"/>
      <c r="P107" s="46" t="e">
        <f>SUM(P104:P106)</f>
        <v>#REF!</v>
      </c>
      <c r="Q107" s="10"/>
      <c r="R107" s="16">
        <f t="shared" si="42"/>
        <v>0</v>
      </c>
      <c r="S107" s="10"/>
      <c r="T107" s="40">
        <f t="shared" si="43"/>
        <v>0.9</v>
      </c>
      <c r="U107" s="8"/>
    </row>
    <row r="108" spans="1:21" ht="15.75" customHeight="1" x14ac:dyDescent="0.25">
      <c r="H108"/>
      <c r="J108"/>
      <c r="P108"/>
    </row>
    <row r="109" spans="1:21" ht="15.75" customHeight="1" x14ac:dyDescent="0.25">
      <c r="A109" s="514" t="s">
        <v>1375</v>
      </c>
      <c r="B109" s="504" t="s">
        <v>10</v>
      </c>
      <c r="C109" s="504"/>
      <c r="D109" s="504"/>
      <c r="E109" s="504"/>
      <c r="F109" s="504"/>
      <c r="H109" s="46" t="e">
        <f>COUNTIFS(tbl_cleaning[Housing Team],"HOUSING NORTH TEAM 5",#REF!,"&lt;&gt;NV")</f>
        <v>#REF!</v>
      </c>
      <c r="I109" s="10"/>
      <c r="J109" s="46" t="e" cm="1">
        <f t="array" ref="J109">SUM(COUNTIFS(tbl_cleaning[Housing Team],"HOUSING NORTH TEAM 5",#REF!,{"1","2","3","4"}))</f>
        <v>#REF!</v>
      </c>
      <c r="K109" s="10"/>
      <c r="L109" s="16" t="e">
        <f>J109/H109</f>
        <v>#REF!</v>
      </c>
      <c r="M109" s="10"/>
      <c r="N109" s="16">
        <f>$F$1</f>
        <v>1</v>
      </c>
      <c r="O109" s="8"/>
      <c r="P109" s="46" t="e">
        <f>COUNTIFS(tbl_cleaning[Housing Team],"HOUSING NORTH TEAM 5",#REF!,3)+COUNTIFS(tbl_cleaning[Housing Team],"HOUSING NORTH TEAM 5",#REF!,4)</f>
        <v>#REF!</v>
      </c>
      <c r="Q109" s="10"/>
      <c r="R109" s="16">
        <f t="shared" ref="R109:R112" si="44">IFERROR(P109/J109,0)</f>
        <v>0</v>
      </c>
      <c r="S109" s="10"/>
      <c r="T109" s="40">
        <f t="shared" ref="T109:T112" si="45">$Q$1</f>
        <v>0.9</v>
      </c>
      <c r="U109" s="8"/>
    </row>
    <row r="110" spans="1:21" ht="15.75" customHeight="1" x14ac:dyDescent="0.25">
      <c r="A110" s="515"/>
      <c r="B110" s="504" t="s">
        <v>11</v>
      </c>
      <c r="C110" s="504"/>
      <c r="D110" s="504"/>
      <c r="E110" s="504"/>
      <c r="F110" s="504"/>
      <c r="H110" s="46" t="e">
        <f>COUNTIFS(tbl_cleaning[Housing Team],"HOUSING NORTH TEAM 5",#REF!,"&lt;&gt;NV")</f>
        <v>#REF!</v>
      </c>
      <c r="I110" s="10"/>
      <c r="J110" s="46" t="e" cm="1">
        <f t="array" ref="J110">SUM(COUNTIFS(tbl_cleaning[Housing Team],"HOUSING NORTH TEAM 5",#REF!,{"1","2","3","4"}))</f>
        <v>#REF!</v>
      </c>
      <c r="K110" s="10"/>
      <c r="L110" s="16" t="e">
        <f>J110/H110</f>
        <v>#REF!</v>
      </c>
      <c r="M110" s="10"/>
      <c r="N110" s="16">
        <f>$F$1</f>
        <v>1</v>
      </c>
      <c r="O110" s="8"/>
      <c r="P110" s="46" t="e">
        <f>COUNTIFS(tbl_cleaning[Housing Team],"HOUSING NORTH TEAM 5",#REF!,3)+COUNTIFS(tbl_cleaning[Housing Team],"HOUSING NORTH TEAM 5",#REF!,4)</f>
        <v>#REF!</v>
      </c>
      <c r="Q110" s="10"/>
      <c r="R110" s="16">
        <f t="shared" si="44"/>
        <v>0</v>
      </c>
      <c r="S110" s="10"/>
      <c r="T110" s="40">
        <f t="shared" si="45"/>
        <v>0.9</v>
      </c>
      <c r="U110" s="8"/>
    </row>
    <row r="111" spans="1:21" ht="15.75" customHeight="1" x14ac:dyDescent="0.25">
      <c r="A111" s="515"/>
      <c r="B111" s="504" t="s">
        <v>12</v>
      </c>
      <c r="C111" s="504"/>
      <c r="D111" s="504"/>
      <c r="E111" s="504"/>
      <c r="F111" s="504"/>
      <c r="H111" s="46" t="e">
        <f>COUNTIFS(#REF!,"HOUSING NORTH TEAM 5",#REF!,"&lt;&gt;NV")</f>
        <v>#REF!</v>
      </c>
      <c r="I111" s="10"/>
      <c r="J111" s="46" t="e">
        <f t="array" ref="J111">SUM(COUNTIFS(#REF!,"HOUSING NORTH TEAM 5",#REF!,{"1","2","3","4"}))</f>
        <v>#REF!</v>
      </c>
      <c r="K111" s="10"/>
      <c r="L111" s="16" t="e">
        <f>J111/H111</f>
        <v>#REF!</v>
      </c>
      <c r="M111" s="10"/>
      <c r="N111" s="16">
        <f>$F$1</f>
        <v>1</v>
      </c>
      <c r="O111" s="8"/>
      <c r="P111" s="46" t="e">
        <f>COUNTIFS(#REF!,"HOUSING NORTH TEAM 5",#REF!,3)+COUNTIFS(#REF!,"HOUSING NORTH TEAM 5",#REF!,4)</f>
        <v>#REF!</v>
      </c>
      <c r="Q111" s="10"/>
      <c r="R111" s="16">
        <f t="shared" si="44"/>
        <v>0</v>
      </c>
      <c r="S111" s="10"/>
      <c r="T111" s="40">
        <f t="shared" si="45"/>
        <v>0.9</v>
      </c>
      <c r="U111" s="8"/>
    </row>
    <row r="112" spans="1:21" ht="15.75" customHeight="1" x14ac:dyDescent="0.25">
      <c r="A112" s="516"/>
      <c r="B112" s="504" t="s">
        <v>13</v>
      </c>
      <c r="C112" s="504"/>
      <c r="D112" s="504"/>
      <c r="E112" s="504"/>
      <c r="F112" s="504"/>
      <c r="H112" s="46" t="e">
        <f>H109+H110+H111</f>
        <v>#REF!</v>
      </c>
      <c r="I112" s="10"/>
      <c r="J112" s="46" t="e">
        <f>SUM(J109:J111)</f>
        <v>#REF!</v>
      </c>
      <c r="K112" s="10"/>
      <c r="L112" s="16" t="e">
        <f>J112/H112</f>
        <v>#REF!</v>
      </c>
      <c r="M112" s="10"/>
      <c r="N112" s="16">
        <f>$F$1</f>
        <v>1</v>
      </c>
      <c r="O112" s="8"/>
      <c r="P112" s="46" t="e">
        <f>SUM(P109:P111)</f>
        <v>#REF!</v>
      </c>
      <c r="Q112" s="10"/>
      <c r="R112" s="16">
        <f t="shared" si="44"/>
        <v>0</v>
      </c>
      <c r="S112" s="10"/>
      <c r="T112" s="40">
        <f t="shared" si="45"/>
        <v>0.9</v>
      </c>
      <c r="U112" s="8"/>
    </row>
    <row r="113" spans="1:21" ht="15.75" customHeight="1" x14ac:dyDescent="0.25">
      <c r="H113"/>
      <c r="J113"/>
      <c r="P113"/>
    </row>
    <row r="114" spans="1:21" ht="15.75" customHeight="1" x14ac:dyDescent="0.25">
      <c r="A114" s="514" t="s">
        <v>1376</v>
      </c>
      <c r="B114" s="504" t="s">
        <v>10</v>
      </c>
      <c r="C114" s="504"/>
      <c r="D114" s="504"/>
      <c r="E114" s="504"/>
      <c r="F114" s="504"/>
      <c r="G114" t="s">
        <v>3</v>
      </c>
      <c r="H114" s="46" t="e">
        <f>COUNTIFS(tbl_cleaning[Housing Team],"HOUSING NORTH TEAM 6",#REF!,"&lt;&gt;NV")</f>
        <v>#REF!</v>
      </c>
      <c r="I114" s="10"/>
      <c r="J114" s="46" t="e" cm="1">
        <f t="array" ref="J114">SUM(COUNTIFS(tbl_cleaning[Housing Team],"HOUSING NORTH TEAM 6",#REF!,{"1","2","3","4"}))</f>
        <v>#REF!</v>
      </c>
      <c r="K114" s="10"/>
      <c r="L114" s="16" t="e">
        <f>J114/H114</f>
        <v>#REF!</v>
      </c>
      <c r="M114" s="10"/>
      <c r="N114" s="16">
        <f>$F$1</f>
        <v>1</v>
      </c>
      <c r="O114" s="8"/>
      <c r="P114" s="46" t="e">
        <f>COUNTIFS(tbl_cleaning[Housing Team],"HOUSING NORTH TEAM 6",#REF!,3)+COUNTIFS(tbl_cleaning[Housing Team],"HOUSING NORTH TEAM 6",#REF!,4)</f>
        <v>#REF!</v>
      </c>
      <c r="Q114" s="10"/>
      <c r="R114" s="16">
        <f t="shared" ref="R114:R117" si="46">IFERROR(P114/J114,0)</f>
        <v>0</v>
      </c>
      <c r="S114" s="10"/>
      <c r="T114" s="40">
        <f t="shared" ref="T114:T117" si="47">$Q$1</f>
        <v>0.9</v>
      </c>
      <c r="U114" s="8"/>
    </row>
    <row r="115" spans="1:21" ht="15.75" customHeight="1" x14ac:dyDescent="0.25">
      <c r="A115" s="515"/>
      <c r="B115" s="504" t="s">
        <v>11</v>
      </c>
      <c r="C115" s="504"/>
      <c r="D115" s="504"/>
      <c r="E115" s="504"/>
      <c r="F115" s="504"/>
      <c r="H115" s="46" t="e">
        <f>COUNTIFS(tbl_cleaning[Housing Team],"HOUSING NORTH TEAM 6",#REF!,"&lt;&gt;NV")</f>
        <v>#REF!</v>
      </c>
      <c r="I115" s="10"/>
      <c r="J115" s="46" t="e" cm="1">
        <f t="array" ref="J115">SUM(COUNTIFS(tbl_cleaning[Housing Team],"HOUSING NORTH TEAM 6",#REF!,{"1","2","3","4"}))</f>
        <v>#REF!</v>
      </c>
      <c r="K115" s="10"/>
      <c r="L115" s="16" t="e">
        <f>J115/H115</f>
        <v>#REF!</v>
      </c>
      <c r="M115" s="10"/>
      <c r="N115" s="16">
        <f>$F$1</f>
        <v>1</v>
      </c>
      <c r="O115" s="8"/>
      <c r="P115" s="46" t="e">
        <f>COUNTIFS(tbl_cleaning[Housing Team],"HOUSING NORTH TEAM 6",#REF!,3)+COUNTIFS(tbl_cleaning[Housing Team],"HOUSING NORTH TEAM 6",#REF!,4)</f>
        <v>#REF!</v>
      </c>
      <c r="Q115" s="10"/>
      <c r="R115" s="16">
        <f t="shared" si="46"/>
        <v>0</v>
      </c>
      <c r="S115" s="10"/>
      <c r="T115" s="40">
        <f t="shared" si="47"/>
        <v>0.9</v>
      </c>
      <c r="U115" s="8"/>
    </row>
    <row r="116" spans="1:21" ht="15.75" customHeight="1" x14ac:dyDescent="0.25">
      <c r="A116" s="515"/>
      <c r="B116" s="504" t="s">
        <v>12</v>
      </c>
      <c r="C116" s="504"/>
      <c r="D116" s="504"/>
      <c r="E116" s="504"/>
      <c r="F116" s="504"/>
      <c r="H116" s="46" t="e">
        <f>COUNTIFS(#REF!,"HOUSING NORTH TEAM 6",#REF!,"&lt;&gt;NV")</f>
        <v>#REF!</v>
      </c>
      <c r="I116" s="10"/>
      <c r="J116" s="46" t="e">
        <f t="array" ref="J116">SUM(COUNTIFS(#REF!,"HOUSING NORTH TEAM 6",#REF!,{"1","2","3","4"}))</f>
        <v>#REF!</v>
      </c>
      <c r="K116" s="10"/>
      <c r="L116" s="16" t="e">
        <f>J116/H116</f>
        <v>#REF!</v>
      </c>
      <c r="M116" s="10"/>
      <c r="N116" s="16">
        <f>$F$1</f>
        <v>1</v>
      </c>
      <c r="O116" s="8"/>
      <c r="P116" s="46" t="e">
        <f>COUNTIFS(#REF!,"HOUSING NORTH TEAM 6",#REF!,3)+COUNTIFS(#REF!,"HOUSING NORTH TEAM 6",#REF!,4)</f>
        <v>#REF!</v>
      </c>
      <c r="Q116" s="10"/>
      <c r="R116" s="16">
        <f t="shared" si="46"/>
        <v>0</v>
      </c>
      <c r="S116" s="10"/>
      <c r="T116" s="40">
        <f t="shared" si="47"/>
        <v>0.9</v>
      </c>
      <c r="U116" s="8"/>
    </row>
    <row r="117" spans="1:21" ht="15.75" customHeight="1" x14ac:dyDescent="0.25">
      <c r="A117" s="516"/>
      <c r="B117" s="504" t="s">
        <v>13</v>
      </c>
      <c r="C117" s="504"/>
      <c r="D117" s="504"/>
      <c r="E117" s="504"/>
      <c r="F117" s="504"/>
      <c r="H117" s="46" t="e">
        <f>H114+H115+H116</f>
        <v>#REF!</v>
      </c>
      <c r="I117" s="10"/>
      <c r="J117" s="46" t="e">
        <f>SUM(J114:J116)</f>
        <v>#REF!</v>
      </c>
      <c r="K117" s="10"/>
      <c r="L117" s="16" t="e">
        <f>J117/H117</f>
        <v>#REF!</v>
      </c>
      <c r="M117" s="10"/>
      <c r="N117" s="16">
        <f>$F$1</f>
        <v>1</v>
      </c>
      <c r="O117" s="8"/>
      <c r="P117" s="46" t="e">
        <f>SUM(P114:P116)</f>
        <v>#REF!</v>
      </c>
      <c r="Q117" s="10"/>
      <c r="R117" s="16">
        <f t="shared" si="46"/>
        <v>0</v>
      </c>
      <c r="S117" s="10"/>
      <c r="T117" s="40">
        <f t="shared" si="47"/>
        <v>0.9</v>
      </c>
      <c r="U117" s="8"/>
    </row>
    <row r="118" spans="1:21" ht="15.75" customHeight="1" x14ac:dyDescent="0.25">
      <c r="H118"/>
      <c r="J118"/>
      <c r="P118"/>
    </row>
    <row r="119" spans="1:21" ht="15.75" customHeight="1" x14ac:dyDescent="0.25">
      <c r="A119" s="514" t="s">
        <v>1381</v>
      </c>
      <c r="B119" s="504" t="s">
        <v>10</v>
      </c>
      <c r="C119" s="504"/>
      <c r="D119" s="504"/>
      <c r="E119" s="504"/>
      <c r="F119" s="504"/>
      <c r="H119" s="46" t="e">
        <f>COUNTIFS(tbl_cleaning[Housing Team],"HOUSING NORTH TEAM 7",#REF!,"&lt;&gt;NV")</f>
        <v>#REF!</v>
      </c>
      <c r="I119" s="10"/>
      <c r="J119" s="46" t="e" cm="1">
        <f t="array" ref="J119">SUM(COUNTIFS(tbl_cleaning[Housing Team],"HOUSING NORTH TEAM 7",#REF!,{"1","2","3","4"}))</f>
        <v>#REF!</v>
      </c>
      <c r="K119" s="10"/>
      <c r="L119" s="16" t="e">
        <f>J119/H119</f>
        <v>#REF!</v>
      </c>
      <c r="M119" s="10"/>
      <c r="N119" s="16">
        <f>$F$1</f>
        <v>1</v>
      </c>
      <c r="O119" s="8"/>
      <c r="P119" s="46" t="e">
        <f>COUNTIFS(tbl_cleaning[Housing Team],"HOUSING NORTH TEAM 7",#REF!,3)+COUNTIFS(tbl_cleaning[Housing Team],"HOUSING NORTH TEAM 7",#REF!,4)</f>
        <v>#REF!</v>
      </c>
      <c r="Q119" s="10"/>
      <c r="R119" s="16">
        <f t="shared" ref="R119:R122" si="48">IFERROR(P119/J119,0)</f>
        <v>0</v>
      </c>
      <c r="S119" s="10"/>
      <c r="T119" s="40">
        <f t="shared" ref="T119:T122" si="49">$Q$1</f>
        <v>0.9</v>
      </c>
      <c r="U119" s="8"/>
    </row>
    <row r="120" spans="1:21" ht="15.75" customHeight="1" x14ac:dyDescent="0.25">
      <c r="A120" s="515"/>
      <c r="B120" s="504" t="s">
        <v>11</v>
      </c>
      <c r="C120" s="504"/>
      <c r="D120" s="504"/>
      <c r="E120" s="504"/>
      <c r="F120" s="504"/>
      <c r="H120" s="46" t="e">
        <f>COUNTIFS(tbl_cleaning[Housing Team],"HOUSING NORTH TEAM 7",#REF!,"&lt;&gt;NV")</f>
        <v>#REF!</v>
      </c>
      <c r="I120" s="10"/>
      <c r="J120" s="46" t="e" cm="1">
        <f t="array" ref="J120">SUM(COUNTIFS(tbl_cleaning[Housing Team],"HOUSING NORTH TEAM 7",#REF!,{"1","2","3","4"}))</f>
        <v>#REF!</v>
      </c>
      <c r="K120" s="10"/>
      <c r="L120" s="16" t="e">
        <f>J120/H120</f>
        <v>#REF!</v>
      </c>
      <c r="M120" s="10"/>
      <c r="N120" s="16">
        <f>$F$1</f>
        <v>1</v>
      </c>
      <c r="O120" s="8"/>
      <c r="P120" s="46" t="e">
        <f>COUNTIFS(tbl_cleaning[Housing Team],"HOUSING NORTH TEAM 7",#REF!,3)+COUNTIFS(tbl_cleaning[Housing Team],"HOUSING NORTH TEAM 7",#REF!,4)</f>
        <v>#REF!</v>
      </c>
      <c r="Q120" s="10"/>
      <c r="R120" s="16">
        <f t="shared" si="48"/>
        <v>0</v>
      </c>
      <c r="S120" s="10"/>
      <c r="T120" s="40">
        <f t="shared" si="49"/>
        <v>0.9</v>
      </c>
      <c r="U120" s="8"/>
    </row>
    <row r="121" spans="1:21" ht="15.75" customHeight="1" x14ac:dyDescent="0.25">
      <c r="A121" s="515"/>
      <c r="B121" s="504" t="s">
        <v>12</v>
      </c>
      <c r="C121" s="504"/>
      <c r="D121" s="504"/>
      <c r="E121" s="504"/>
      <c r="F121" s="504"/>
      <c r="H121" s="46" t="e">
        <f>COUNTIFS(#REF!,"HOUSING NORTH TEAM 7",#REF!,"&lt;&gt;NV")</f>
        <v>#REF!</v>
      </c>
      <c r="I121" s="10"/>
      <c r="J121" s="46" t="e">
        <f t="array" ref="J121">SUM(COUNTIFS(#REF!,"HOUSING NORTH TEAM 7",#REF!,{"1","2","3","4"}))</f>
        <v>#REF!</v>
      </c>
      <c r="K121" s="10"/>
      <c r="L121" s="16" t="e">
        <f>J121/H121</f>
        <v>#REF!</v>
      </c>
      <c r="M121" s="10"/>
      <c r="N121" s="16">
        <f>$F$1</f>
        <v>1</v>
      </c>
      <c r="O121" s="8"/>
      <c r="P121" s="46" t="e">
        <f>COUNTIFS(#REF!,"HOUSING NORTH TEAM 7",#REF!,3)+COUNTIFS(#REF!,"HOUSING NORTH TEAM 7",#REF!,4)</f>
        <v>#REF!</v>
      </c>
      <c r="Q121" s="10"/>
      <c r="R121" s="16">
        <f t="shared" si="48"/>
        <v>0</v>
      </c>
      <c r="S121" s="10"/>
      <c r="T121" s="40">
        <f t="shared" si="49"/>
        <v>0.9</v>
      </c>
      <c r="U121" s="8"/>
    </row>
    <row r="122" spans="1:21" ht="15.75" customHeight="1" x14ac:dyDescent="0.25">
      <c r="A122" s="516"/>
      <c r="B122" s="504" t="s">
        <v>13</v>
      </c>
      <c r="C122" s="504"/>
      <c r="D122" s="504"/>
      <c r="E122" s="504"/>
      <c r="F122" s="504"/>
      <c r="H122" s="46" t="e">
        <f>H119+H120+H121</f>
        <v>#REF!</v>
      </c>
      <c r="I122" s="10"/>
      <c r="J122" s="46" t="e">
        <f>SUM(J119:J121)</f>
        <v>#REF!</v>
      </c>
      <c r="K122" s="10"/>
      <c r="L122" s="16" t="e">
        <f>J122/H122</f>
        <v>#REF!</v>
      </c>
      <c r="M122" s="10"/>
      <c r="N122" s="16">
        <f>$F$1</f>
        <v>1</v>
      </c>
      <c r="O122" s="8"/>
      <c r="P122" s="46" t="e">
        <f>SUM(P119:P121)</f>
        <v>#REF!</v>
      </c>
      <c r="Q122" s="10"/>
      <c r="R122" s="16">
        <f t="shared" si="48"/>
        <v>0</v>
      </c>
      <c r="S122" s="10"/>
      <c r="T122" s="40">
        <f t="shared" si="49"/>
        <v>0.9</v>
      </c>
      <c r="U122" s="8"/>
    </row>
    <row r="123" spans="1:21" ht="15.75" customHeight="1" x14ac:dyDescent="0.25">
      <c r="H123"/>
      <c r="J123"/>
      <c r="P123"/>
    </row>
    <row r="124" spans="1:21" ht="15.75" customHeight="1" x14ac:dyDescent="0.25">
      <c r="A124" s="505" t="s">
        <v>1373</v>
      </c>
      <c r="B124" s="504" t="s">
        <v>10</v>
      </c>
      <c r="C124" s="504"/>
      <c r="D124" s="504"/>
      <c r="E124" s="504"/>
      <c r="F124" s="504"/>
      <c r="G124" t="s">
        <v>3</v>
      </c>
      <c r="H124" s="46" t="e">
        <f>COUNTIFS(tbl_cleaning[Housing Team],"HOUSING SOUTH TEAM 1",#REF!,"&lt;&gt;NV")</f>
        <v>#REF!</v>
      </c>
      <c r="I124" s="10"/>
      <c r="J124" s="46" t="e" cm="1">
        <f t="array" ref="J124">SUM(COUNTIFS(tbl_cleaning[Housing Team],"HOUSING SOUTH TEAM 1",#REF!,{"1","2","3","4"}))</f>
        <v>#REF!</v>
      </c>
      <c r="K124" s="10"/>
      <c r="L124" s="16" t="e">
        <f>J124/H124</f>
        <v>#REF!</v>
      </c>
      <c r="M124" s="10"/>
      <c r="N124" s="16">
        <f>$F$1</f>
        <v>1</v>
      </c>
      <c r="O124" s="8"/>
      <c r="P124" s="46" t="e">
        <f>COUNTIFS(tbl_cleaning[Housing Team],"HOUSING SOUTH TEAM 1",#REF!,3)+COUNTIFS(tbl_cleaning[Housing Team],"HOUSING SOUTH TEAM 1",#REF!,4)</f>
        <v>#REF!</v>
      </c>
      <c r="Q124" s="10"/>
      <c r="R124" s="16">
        <f t="shared" ref="R124:R127" si="50">IFERROR(P124/J124,0)</f>
        <v>0</v>
      </c>
      <c r="S124" s="10"/>
      <c r="T124" s="40">
        <f t="shared" ref="T124:T127" si="51">$Q$1</f>
        <v>0.9</v>
      </c>
      <c r="U124" s="8"/>
    </row>
    <row r="125" spans="1:21" ht="15.75" customHeight="1" x14ac:dyDescent="0.25">
      <c r="A125" s="529"/>
      <c r="B125" s="504" t="s">
        <v>11</v>
      </c>
      <c r="C125" s="504"/>
      <c r="D125" s="504"/>
      <c r="E125" s="504"/>
      <c r="F125" s="504"/>
      <c r="H125" s="46" t="e">
        <f>COUNTIFS(tbl_cleaning[Housing Team],"HOUSING SOUTH TEAM 1",#REF!,"&lt;&gt;NV")</f>
        <v>#REF!</v>
      </c>
      <c r="I125" s="10"/>
      <c r="J125" s="46" t="e" cm="1">
        <f t="array" ref="J125">SUM(COUNTIFS(tbl_cleaning[Housing Team],"HOUSING SOUTH TEAM 1",#REF!,{"1","2","3","4"}))</f>
        <v>#REF!</v>
      </c>
      <c r="K125" s="10"/>
      <c r="L125" s="16" t="e">
        <f>J125/H125</f>
        <v>#REF!</v>
      </c>
      <c r="M125" s="10"/>
      <c r="N125" s="16">
        <f>$F$1</f>
        <v>1</v>
      </c>
      <c r="O125" s="8"/>
      <c r="P125" s="46" t="e">
        <f>COUNTIFS(tbl_cleaning[Housing Team],"HOUSING SOUTH TEAM 1",#REF!,3)+COUNTIFS(tbl_cleaning[Housing Team],"HOUSING SOUTH TEAM 1",#REF!,4)</f>
        <v>#REF!</v>
      </c>
      <c r="Q125" s="10"/>
      <c r="R125" s="16">
        <f t="shared" si="50"/>
        <v>0</v>
      </c>
      <c r="S125" s="10"/>
      <c r="T125" s="40">
        <f t="shared" si="51"/>
        <v>0.9</v>
      </c>
      <c r="U125" s="8"/>
    </row>
    <row r="126" spans="1:21" ht="15.75" customHeight="1" x14ac:dyDescent="0.25">
      <c r="A126" s="529"/>
      <c r="B126" s="504" t="s">
        <v>12</v>
      </c>
      <c r="C126" s="504"/>
      <c r="D126" s="504"/>
      <c r="E126" s="504"/>
      <c r="F126" s="504"/>
      <c r="H126" s="46" t="e">
        <f>COUNTIFS(#REF!,"HOUSING SOUTH TEAM 1",#REF!,"&lt;&gt;NV")</f>
        <v>#REF!</v>
      </c>
      <c r="I126" s="10"/>
      <c r="J126" s="46" t="e">
        <f t="array" ref="J126">SUM(COUNTIFS(#REF!,"HOUSING SOUTH TEAM 1",#REF!,{"1","2","3","4"}))</f>
        <v>#REF!</v>
      </c>
      <c r="K126" s="10"/>
      <c r="L126" s="16" t="e">
        <f>J126/H126</f>
        <v>#REF!</v>
      </c>
      <c r="M126" s="10"/>
      <c r="N126" s="16">
        <f>$F$1</f>
        <v>1</v>
      </c>
      <c r="O126" s="8"/>
      <c r="P126" s="46" t="e">
        <f>COUNTIFS(#REF!,"HOUSING SOUTH TEAM 1",#REF!,3)+COUNTIFS(#REF!,"HOUSING SOUTH TEAM 1",#REF!,4)</f>
        <v>#REF!</v>
      </c>
      <c r="Q126" s="10"/>
      <c r="R126" s="16">
        <f t="shared" si="50"/>
        <v>0</v>
      </c>
      <c r="S126" s="10"/>
      <c r="T126" s="40">
        <f t="shared" si="51"/>
        <v>0.9</v>
      </c>
      <c r="U126" s="8"/>
    </row>
    <row r="127" spans="1:21" ht="15.75" customHeight="1" x14ac:dyDescent="0.25">
      <c r="A127" s="530"/>
      <c r="B127" s="504" t="s">
        <v>13</v>
      </c>
      <c r="C127" s="504"/>
      <c r="D127" s="504"/>
      <c r="E127" s="504"/>
      <c r="F127" s="504"/>
      <c r="H127" s="46" t="e">
        <f>H124+H125+H126</f>
        <v>#REF!</v>
      </c>
      <c r="I127" s="10"/>
      <c r="J127" s="46" t="e">
        <f>SUM(J124:J126)</f>
        <v>#REF!</v>
      </c>
      <c r="K127" s="10"/>
      <c r="L127" s="16" t="e">
        <f>J127/H127</f>
        <v>#REF!</v>
      </c>
      <c r="M127" s="10"/>
      <c r="N127" s="16">
        <f>$F$1</f>
        <v>1</v>
      </c>
      <c r="O127" s="8"/>
      <c r="P127" s="46" t="e">
        <f>SUM(P124:P126)</f>
        <v>#REF!</v>
      </c>
      <c r="Q127" s="10"/>
      <c r="R127" s="16">
        <f t="shared" si="50"/>
        <v>0</v>
      </c>
      <c r="S127" s="10"/>
      <c r="T127" s="40">
        <f t="shared" si="51"/>
        <v>0.9</v>
      </c>
      <c r="U127" s="8"/>
    </row>
    <row r="128" spans="1:21" ht="15.75" customHeight="1" x14ac:dyDescent="0.25">
      <c r="H128"/>
      <c r="J128"/>
      <c r="P128"/>
    </row>
    <row r="129" spans="1:21" ht="15.75" customHeight="1" x14ac:dyDescent="0.25">
      <c r="A129" s="505" t="s">
        <v>1369</v>
      </c>
      <c r="B129" s="504" t="s">
        <v>10</v>
      </c>
      <c r="C129" s="504"/>
      <c r="D129" s="504"/>
      <c r="E129" s="504"/>
      <c r="F129" s="504"/>
      <c r="H129" s="46" t="e">
        <f>COUNTIFS(tbl_cleaning[Housing Team],"HOUSING SOUTH TEAM 2",#REF!,"&lt;&gt;NV")</f>
        <v>#REF!</v>
      </c>
      <c r="I129" s="10"/>
      <c r="J129" s="46" t="e" cm="1">
        <f t="array" ref="J129">SUM(COUNTIFS(tbl_cleaning[Housing Team],"HOUSING SOUTH TEAM 2",#REF!,{"1","2","3","4"}))</f>
        <v>#REF!</v>
      </c>
      <c r="K129" s="10"/>
      <c r="L129" s="16" t="e">
        <f>J129/H129</f>
        <v>#REF!</v>
      </c>
      <c r="M129" s="10"/>
      <c r="N129" s="16">
        <f>$F$1</f>
        <v>1</v>
      </c>
      <c r="O129" s="8"/>
      <c r="P129" s="46" t="e">
        <f>COUNTIFS(tbl_cleaning[Housing Team],"HOUSING SOUTH TEAM 2",#REF!,3)+COUNTIFS(tbl_cleaning[Housing Team],"HOUSING SOUTH TEAM 2",#REF!,4)</f>
        <v>#REF!</v>
      </c>
      <c r="Q129" s="10"/>
      <c r="R129" s="16">
        <f t="shared" ref="R129:R132" si="52">IFERROR(P129/J129,0)</f>
        <v>0</v>
      </c>
      <c r="S129" s="10"/>
      <c r="T129" s="40">
        <f t="shared" ref="T129:T137" si="53">$Q$1</f>
        <v>0.9</v>
      </c>
      <c r="U129" s="8"/>
    </row>
    <row r="130" spans="1:21" ht="15.75" customHeight="1" x14ac:dyDescent="0.25">
      <c r="A130" s="529"/>
      <c r="B130" s="504" t="s">
        <v>11</v>
      </c>
      <c r="C130" s="504"/>
      <c r="D130" s="504"/>
      <c r="E130" s="504"/>
      <c r="F130" s="504"/>
      <c r="H130" s="46" t="e">
        <f>COUNTIFS(tbl_cleaning[Housing Team],"HOUSING SOUTH TEAM 2",#REF!,"&lt;&gt;NV")</f>
        <v>#REF!</v>
      </c>
      <c r="I130" s="10"/>
      <c r="J130" s="46" t="e" cm="1">
        <f t="array" ref="J130">SUM(COUNTIFS(tbl_cleaning[Housing Team],"HOUSING SOUTH TEAM 2",#REF!,{"1","2","3","4"}))</f>
        <v>#REF!</v>
      </c>
      <c r="K130" s="10"/>
      <c r="L130" s="16" t="e">
        <f>J130/H130</f>
        <v>#REF!</v>
      </c>
      <c r="M130" s="10"/>
      <c r="N130" s="16">
        <f>$F$1</f>
        <v>1</v>
      </c>
      <c r="O130" s="8"/>
      <c r="P130" s="46" t="e">
        <f>COUNTIFS(tbl_cleaning[Housing Team],"HOUSING SOUTH TEAM 2",#REF!,3)+COUNTIFS(tbl_cleaning[Housing Team],"HOUSING SOUTH TEAM 2",#REF!,4)</f>
        <v>#REF!</v>
      </c>
      <c r="Q130" s="10"/>
      <c r="R130" s="16">
        <f t="shared" si="52"/>
        <v>0</v>
      </c>
      <c r="S130" s="10"/>
      <c r="T130" s="40">
        <f t="shared" si="53"/>
        <v>0.9</v>
      </c>
      <c r="U130" s="8"/>
    </row>
    <row r="131" spans="1:21" ht="15.75" customHeight="1" x14ac:dyDescent="0.25">
      <c r="A131" s="529"/>
      <c r="B131" s="504" t="s">
        <v>12</v>
      </c>
      <c r="C131" s="504"/>
      <c r="D131" s="504"/>
      <c r="E131" s="504"/>
      <c r="F131" s="504"/>
      <c r="H131" s="46" t="e">
        <f>COUNTIFS(#REF!,"HOUSING SOUTH TEAM 2",#REF!,"&lt;&gt;NV")</f>
        <v>#REF!</v>
      </c>
      <c r="I131" s="10"/>
      <c r="J131" s="46" t="e">
        <f t="array" ref="J131">SUM(COUNTIFS(#REF!,"HOUSING SOUTH TEAM 2",#REF!,{"1","2","3","4"}))</f>
        <v>#REF!</v>
      </c>
      <c r="K131" s="10"/>
      <c r="L131" s="16" t="e">
        <f>J131/H131</f>
        <v>#REF!</v>
      </c>
      <c r="M131" s="10"/>
      <c r="N131" s="16">
        <f>$F$1</f>
        <v>1</v>
      </c>
      <c r="O131" s="8"/>
      <c r="P131" s="46" t="e">
        <f>COUNTIFS(#REF!,"HOUSING SOUTH TEAM 2",#REF!,3)+COUNTIFS(#REF!,"HOUSING SOUTH TEAM 2",#REF!,4)</f>
        <v>#REF!</v>
      </c>
      <c r="Q131" s="10"/>
      <c r="R131" s="16">
        <f t="shared" si="52"/>
        <v>0</v>
      </c>
      <c r="S131" s="10"/>
      <c r="T131" s="40">
        <f t="shared" si="53"/>
        <v>0.9</v>
      </c>
      <c r="U131" s="8"/>
    </row>
    <row r="132" spans="1:21" ht="15.75" customHeight="1" x14ac:dyDescent="0.25">
      <c r="A132" s="530"/>
      <c r="B132" s="504" t="s">
        <v>13</v>
      </c>
      <c r="C132" s="504"/>
      <c r="D132" s="504"/>
      <c r="E132" s="504"/>
      <c r="F132" s="504"/>
      <c r="H132" s="46" t="e">
        <f>H129+H130+H131</f>
        <v>#REF!</v>
      </c>
      <c r="I132" s="10"/>
      <c r="J132" s="46" t="e">
        <f>SUM(J129:J131)</f>
        <v>#REF!</v>
      </c>
      <c r="K132" s="10"/>
      <c r="L132" s="16" t="e">
        <f>J132/H132</f>
        <v>#REF!</v>
      </c>
      <c r="M132" s="10"/>
      <c r="N132" s="16">
        <f>$F$1</f>
        <v>1</v>
      </c>
      <c r="O132" s="8"/>
      <c r="P132" s="46" t="e">
        <f>SUM(P129:P131)</f>
        <v>#REF!</v>
      </c>
      <c r="Q132" s="10"/>
      <c r="R132" s="16">
        <f t="shared" si="52"/>
        <v>0</v>
      </c>
      <c r="S132" s="10"/>
      <c r="T132" s="40">
        <f t="shared" si="53"/>
        <v>0.9</v>
      </c>
      <c r="U132" s="8"/>
    </row>
    <row r="133" spans="1:21" ht="15.75" customHeight="1" thickBot="1" x14ac:dyDescent="0.3">
      <c r="H133"/>
      <c r="J133"/>
      <c r="P133"/>
    </row>
    <row r="134" spans="1:21" ht="15.75" customHeight="1" x14ac:dyDescent="0.25">
      <c r="A134" s="523" t="s">
        <v>1389</v>
      </c>
      <c r="B134" s="504" t="s">
        <v>10</v>
      </c>
      <c r="C134" s="504"/>
      <c r="D134" s="504"/>
      <c r="E134" s="504"/>
      <c r="F134" s="504"/>
      <c r="H134" s="46" t="e">
        <f>COUNTIFS(tbl_cleaning[Housing Team],"HOUSING SOUTH TEAM 2",#REF!,"&lt;&gt;NV")</f>
        <v>#REF!</v>
      </c>
      <c r="I134" s="10"/>
      <c r="J134" s="46" t="e" cm="1">
        <f t="array" ref="J134">SUM(COUNTIFS(tbl_cleaning[Housing Team],"WOODBERRY DOWN TEAM",#REF!,{"1","2","3","4"}))</f>
        <v>#REF!</v>
      </c>
      <c r="K134" s="10"/>
      <c r="L134" s="16" t="e">
        <f>J134/H134</f>
        <v>#REF!</v>
      </c>
      <c r="M134" s="10"/>
      <c r="N134" s="16">
        <f>$F$1</f>
        <v>1</v>
      </c>
      <c r="O134" s="8"/>
      <c r="P134" s="46" t="e">
        <f>COUNTIFS(tbl_cleaning[Housing Team],"WOODBERRY DOWN TEAM",#REF!,3)+COUNTIFS(tbl_cleaning[Housing Team],"WOODBERRY DOWN TEAM",#REF!,4)</f>
        <v>#REF!</v>
      </c>
      <c r="Q134" s="10"/>
      <c r="R134" s="16">
        <f t="shared" ref="R134:R137" si="54">IFERROR(P134/J134,0)</f>
        <v>0</v>
      </c>
      <c r="S134" s="10"/>
      <c r="T134" s="40">
        <f t="shared" si="53"/>
        <v>0.9</v>
      </c>
      <c r="U134" s="8"/>
    </row>
    <row r="135" spans="1:21" ht="15.75" customHeight="1" x14ac:dyDescent="0.25">
      <c r="A135" s="524"/>
      <c r="B135" s="504" t="s">
        <v>11</v>
      </c>
      <c r="C135" s="504"/>
      <c r="D135" s="504"/>
      <c r="E135" s="504"/>
      <c r="F135" s="504"/>
      <c r="H135" s="46" t="e">
        <f>COUNTIFS(tbl_cleaning[Housing Team],"HOUSING SOUTH TEAM 2",#REF!,"&lt;&gt;NV")</f>
        <v>#REF!</v>
      </c>
      <c r="I135" s="10"/>
      <c r="J135" s="46" t="e" cm="1">
        <f t="array" ref="J135">SUM(COUNTIFS(tbl_cleaning[Housing Team],"WOODBERRY DOWN TEAM",#REF!,{"1","2","3","4"}))</f>
        <v>#REF!</v>
      </c>
      <c r="K135" s="10"/>
      <c r="L135" s="16" t="e">
        <f>J135/H135</f>
        <v>#REF!</v>
      </c>
      <c r="M135" s="10"/>
      <c r="N135" s="16">
        <f>$F$1</f>
        <v>1</v>
      </c>
      <c r="O135" s="8"/>
      <c r="P135" s="46" t="e">
        <f>COUNTIFS(tbl_cleaning[Housing Team],"WOODBERRY DOWN TEAM",#REF!,3)+COUNTIFS(tbl_cleaning[Housing Team],"WOODBERRY DOWN TEAM",#REF!,4)</f>
        <v>#REF!</v>
      </c>
      <c r="Q135" s="10"/>
      <c r="R135" s="16">
        <f t="shared" si="54"/>
        <v>0</v>
      </c>
      <c r="S135" s="10"/>
      <c r="T135" s="40">
        <f t="shared" si="53"/>
        <v>0.9</v>
      </c>
      <c r="U135" s="8"/>
    </row>
    <row r="136" spans="1:21" ht="15.75" customHeight="1" x14ac:dyDescent="0.25">
      <c r="A136" s="524"/>
      <c r="B136" s="504" t="s">
        <v>12</v>
      </c>
      <c r="C136" s="504"/>
      <c r="D136" s="504"/>
      <c r="E136" s="504"/>
      <c r="F136" s="504"/>
      <c r="H136" s="46" t="e">
        <f>COUNTIFS(#REF!,"HOUSING SOUTH TEAM 2",#REF!,"&lt;&gt;NV")</f>
        <v>#REF!</v>
      </c>
      <c r="I136" s="10"/>
      <c r="J136" s="46" t="e" cm="1">
        <f t="array" ref="J136">SUM(COUNTIFS(#REF!,"WOODBERRY DOWN TEAM",#REF!,{"1","2","3","4"}))</f>
        <v>#REF!</v>
      </c>
      <c r="K136" s="10"/>
      <c r="L136" s="16" t="e">
        <f>J136/H136</f>
        <v>#REF!</v>
      </c>
      <c r="M136" s="10"/>
      <c r="N136" s="16">
        <f>$F$1</f>
        <v>1</v>
      </c>
      <c r="O136" s="8"/>
      <c r="P136" s="46" t="e">
        <f>COUNTIFS(#REF!,"WOODBERRY DOWN TEAM",#REF!,3)+COUNTIFS(#REF!,"WOODBERRY DOWN TEAM",#REF!,4)</f>
        <v>#REF!</v>
      </c>
      <c r="Q136" s="10"/>
      <c r="R136" s="16">
        <f t="shared" si="54"/>
        <v>0</v>
      </c>
      <c r="S136" s="10"/>
      <c r="T136" s="40">
        <f t="shared" si="53"/>
        <v>0.9</v>
      </c>
      <c r="U136" s="8"/>
    </row>
    <row r="137" spans="1:21" ht="15.75" customHeight="1" thickBot="1" x14ac:dyDescent="0.3">
      <c r="A137" s="525"/>
      <c r="B137" s="504" t="s">
        <v>13</v>
      </c>
      <c r="C137" s="504"/>
      <c r="D137" s="504"/>
      <c r="E137" s="504"/>
      <c r="F137" s="504"/>
      <c r="H137" s="46" t="e">
        <f>H134+H135+H136</f>
        <v>#REF!</v>
      </c>
      <c r="I137" s="10"/>
      <c r="J137" s="46" t="e">
        <f>SUM(J134:J136)</f>
        <v>#REF!</v>
      </c>
      <c r="K137" s="10"/>
      <c r="L137" s="16" t="e">
        <f>J137/H137</f>
        <v>#REF!</v>
      </c>
      <c r="M137" s="10"/>
      <c r="N137" s="16">
        <f>$F$1</f>
        <v>1</v>
      </c>
      <c r="O137" s="8"/>
      <c r="P137" s="46" t="e">
        <f>SUM(P134:P136)</f>
        <v>#REF!</v>
      </c>
      <c r="Q137" s="10"/>
      <c r="R137" s="16">
        <f t="shared" si="54"/>
        <v>0</v>
      </c>
      <c r="S137" s="10"/>
      <c r="T137" s="40">
        <f t="shared" si="53"/>
        <v>0.9</v>
      </c>
      <c r="U137" s="8"/>
    </row>
    <row r="138" spans="1:21" ht="15.75" customHeight="1" x14ac:dyDescent="0.25">
      <c r="A138" s="378"/>
      <c r="B138" s="379"/>
      <c r="C138" s="379"/>
      <c r="D138" s="379"/>
      <c r="E138" s="379"/>
      <c r="F138" s="379"/>
      <c r="H138" s="380"/>
      <c r="I138" s="10"/>
      <c r="J138" s="380"/>
      <c r="K138" s="10"/>
      <c r="L138" s="381"/>
      <c r="M138" s="10"/>
      <c r="N138" s="381"/>
      <c r="O138" s="8"/>
      <c r="P138" s="380"/>
      <c r="Q138" s="10"/>
      <c r="R138" s="381"/>
      <c r="S138" s="10"/>
      <c r="T138" s="382"/>
      <c r="U138" s="8"/>
    </row>
    <row r="139" spans="1:21" ht="15.75" customHeight="1" thickBot="1" x14ac:dyDescent="0.3">
      <c r="H139"/>
      <c r="J139"/>
      <c r="P139"/>
    </row>
    <row r="140" spans="1:21" ht="15.75" customHeight="1" x14ac:dyDescent="0.25">
      <c r="A140" s="517" t="s">
        <v>39</v>
      </c>
      <c r="B140" s="50" t="s">
        <v>10</v>
      </c>
      <c r="C140" s="50"/>
      <c r="D140" s="50"/>
      <c r="E140" s="50"/>
      <c r="F140" s="51"/>
      <c r="G140" s="15"/>
      <c r="H140" s="46" t="e">
        <f>SUM(H4+H9+H19+H24+H29+H34+H39+H49)</f>
        <v>#REF!</v>
      </c>
      <c r="I140" s="10"/>
      <c r="J140" s="46" t="e">
        <f>SUM(J4+J9+J19+J24+J29+J34+J39+J49)</f>
        <v>#REF!</v>
      </c>
      <c r="K140" s="10"/>
      <c r="L140" s="16" t="e">
        <f>J140/H140</f>
        <v>#REF!</v>
      </c>
      <c r="M140" s="10"/>
      <c r="N140" s="16">
        <f>$F$1</f>
        <v>1</v>
      </c>
      <c r="O140" s="8"/>
      <c r="P140" s="46" t="e">
        <f>SUM(P4+P9+P19+P24+P29+P34+P39+P49)</f>
        <v>#REF!</v>
      </c>
      <c r="Q140" s="10"/>
      <c r="R140" s="16">
        <f t="shared" ref="R140:R143" si="55">IFERROR(P140/J140,0)</f>
        <v>0</v>
      </c>
      <c r="S140" s="10"/>
      <c r="T140" s="40">
        <f t="shared" ref="T140:T158" si="56">$Q$1</f>
        <v>0.9</v>
      </c>
      <c r="U140" s="8"/>
    </row>
    <row r="141" spans="1:21" ht="15.75" customHeight="1" x14ac:dyDescent="0.25">
      <c r="A141" s="518"/>
      <c r="B141" s="50" t="s">
        <v>11</v>
      </c>
      <c r="C141" s="50"/>
      <c r="D141" s="50"/>
      <c r="E141" s="50"/>
      <c r="F141" s="51"/>
      <c r="G141" s="15"/>
      <c r="H141" s="46" t="e">
        <f>SUM(H5+H10+H20+H25+H30+H35+H40+H50)</f>
        <v>#REF!</v>
      </c>
      <c r="I141" s="10"/>
      <c r="J141" s="46" t="e">
        <f>SUM(J5+J10+J20+J25+J30+J35+J40+J50)</f>
        <v>#REF!</v>
      </c>
      <c r="K141" s="10"/>
      <c r="L141" s="16" t="e">
        <f>J141/H141</f>
        <v>#REF!</v>
      </c>
      <c r="M141" s="10"/>
      <c r="N141" s="16">
        <f>$F$1</f>
        <v>1</v>
      </c>
      <c r="O141" s="8"/>
      <c r="P141" s="46" t="e">
        <f>SUM(P5+P10+P20+P25+P30+P35+P40+P50)</f>
        <v>#REF!</v>
      </c>
      <c r="Q141" s="10"/>
      <c r="R141" s="16">
        <f t="shared" si="55"/>
        <v>0</v>
      </c>
      <c r="S141" s="10"/>
      <c r="T141" s="40">
        <f t="shared" si="56"/>
        <v>0.9</v>
      </c>
      <c r="U141" s="8"/>
    </row>
    <row r="142" spans="1:21" ht="15.75" customHeight="1" x14ac:dyDescent="0.25">
      <c r="A142" s="518"/>
      <c r="B142" s="50" t="s">
        <v>12</v>
      </c>
      <c r="C142" s="50"/>
      <c r="D142" s="50"/>
      <c r="E142" s="50"/>
      <c r="F142" s="51"/>
      <c r="G142" s="15"/>
      <c r="H142" s="46" t="e">
        <f>SUM(H6+H11+H21+H26+H31+H36+H41+H51)</f>
        <v>#REF!</v>
      </c>
      <c r="I142" s="10"/>
      <c r="J142" s="46" t="e">
        <f>SUM(J6+J11+J21+J26+J31+J36+J41+J51)</f>
        <v>#REF!</v>
      </c>
      <c r="K142" s="10"/>
      <c r="L142" s="16" t="e">
        <f>J142/H142</f>
        <v>#REF!</v>
      </c>
      <c r="M142" s="10"/>
      <c r="N142" s="16">
        <f>$F$1</f>
        <v>1</v>
      </c>
      <c r="O142" s="8"/>
      <c r="P142" s="46" t="e">
        <f>SUM(P6+P11+P21+P26+P31+P36+P41+P51)</f>
        <v>#REF!</v>
      </c>
      <c r="Q142" s="10"/>
      <c r="R142" s="16">
        <f t="shared" si="55"/>
        <v>0</v>
      </c>
      <c r="S142" s="10"/>
      <c r="T142" s="40">
        <f t="shared" si="56"/>
        <v>0.9</v>
      </c>
      <c r="U142" s="8"/>
    </row>
    <row r="143" spans="1:21" ht="15.75" customHeight="1" thickBot="1" x14ac:dyDescent="0.3">
      <c r="A143" s="519"/>
      <c r="B143" s="50" t="s">
        <v>13</v>
      </c>
      <c r="C143" s="50"/>
      <c r="D143" s="50"/>
      <c r="E143" s="50"/>
      <c r="F143" s="51"/>
      <c r="G143" s="8"/>
      <c r="H143" s="46" t="e">
        <f>SUM(H140+H141+H142)</f>
        <v>#REF!</v>
      </c>
      <c r="I143" s="10"/>
      <c r="J143" s="46" t="e">
        <f>SUM(J7+J12+J22+J27+J32+J37+J42+J52)</f>
        <v>#REF!</v>
      </c>
      <c r="K143" s="10"/>
      <c r="L143" s="16" t="e">
        <f>J143/H143</f>
        <v>#REF!</v>
      </c>
      <c r="M143" s="10"/>
      <c r="N143" s="16">
        <f>$F$1</f>
        <v>1</v>
      </c>
      <c r="O143" s="8"/>
      <c r="P143" s="46" t="e">
        <f>SUM(P7+P12+P22+P27+P32+P37+P42+P52)</f>
        <v>#REF!</v>
      </c>
      <c r="Q143" s="10"/>
      <c r="R143" s="16">
        <f t="shared" si="55"/>
        <v>0</v>
      </c>
      <c r="S143" s="10"/>
      <c r="T143" s="40">
        <f t="shared" si="56"/>
        <v>0.9</v>
      </c>
      <c r="U143" s="8"/>
    </row>
    <row r="144" spans="1:21" ht="15.75" customHeight="1" thickBot="1" x14ac:dyDescent="0.3">
      <c r="H144"/>
      <c r="J144"/>
      <c r="P144"/>
    </row>
    <row r="145" spans="1:21" ht="15.75" customHeight="1" x14ac:dyDescent="0.25">
      <c r="A145" s="520" t="s">
        <v>40</v>
      </c>
      <c r="B145" s="50" t="s">
        <v>10</v>
      </c>
      <c r="C145" s="50"/>
      <c r="D145" s="50"/>
      <c r="E145" s="50"/>
      <c r="F145" s="51"/>
      <c r="G145" s="15"/>
      <c r="H145" s="46" t="e">
        <f>SUM(H14+H44+H54+H124+H129)</f>
        <v>#REF!</v>
      </c>
      <c r="I145" s="10"/>
      <c r="J145" s="46" t="e">
        <f>SUM(J14+J44+J54+J124+J129+J59)</f>
        <v>#REF!</v>
      </c>
      <c r="K145" s="10"/>
      <c r="L145" s="16" t="e">
        <f>J145/H145</f>
        <v>#REF!</v>
      </c>
      <c r="M145" s="10"/>
      <c r="N145" s="16">
        <f>$F$1</f>
        <v>1</v>
      </c>
      <c r="O145" s="8"/>
      <c r="P145" s="46" t="e">
        <f>SUM(P14+P44+P54+P124+P129+P59)</f>
        <v>#REF!</v>
      </c>
      <c r="Q145" s="10"/>
      <c r="R145" s="16">
        <f t="shared" ref="R145:R148" si="57">IFERROR(P145/J145,0)</f>
        <v>0</v>
      </c>
      <c r="S145" s="10"/>
      <c r="T145" s="40">
        <f t="shared" si="56"/>
        <v>0.9</v>
      </c>
      <c r="U145" s="8"/>
    </row>
    <row r="146" spans="1:21" ht="15.75" customHeight="1" x14ac:dyDescent="0.25">
      <c r="A146" s="521"/>
      <c r="B146" s="50" t="s">
        <v>11</v>
      </c>
      <c r="C146" s="50"/>
      <c r="D146" s="50"/>
      <c r="E146" s="50"/>
      <c r="F146" s="51"/>
      <c r="G146" s="15"/>
      <c r="H146" s="46" t="e">
        <f>SUM(H15+H45+H55+H125+H130)</f>
        <v>#REF!</v>
      </c>
      <c r="I146" s="10"/>
      <c r="J146" s="46" t="e">
        <f>SUM(J15+J45+J55+J125+J130+J60)</f>
        <v>#REF!</v>
      </c>
      <c r="K146" s="10"/>
      <c r="L146" s="16" t="e">
        <f>J146/H146</f>
        <v>#REF!</v>
      </c>
      <c r="M146" s="10"/>
      <c r="N146" s="16">
        <f>$F$1</f>
        <v>1</v>
      </c>
      <c r="O146" s="8"/>
      <c r="P146" s="46" t="e">
        <f>SUM(P15+P45+P55+P125+P130+P60)</f>
        <v>#REF!</v>
      </c>
      <c r="Q146" s="10"/>
      <c r="R146" s="16">
        <f t="shared" si="57"/>
        <v>0</v>
      </c>
      <c r="S146" s="10"/>
      <c r="T146" s="40">
        <f t="shared" si="56"/>
        <v>0.9</v>
      </c>
      <c r="U146" s="8"/>
    </row>
    <row r="147" spans="1:21" ht="15.75" customHeight="1" x14ac:dyDescent="0.25">
      <c r="A147" s="521"/>
      <c r="B147" s="50" t="s">
        <v>12</v>
      </c>
      <c r="C147" s="50"/>
      <c r="D147" s="50"/>
      <c r="E147" s="50"/>
      <c r="F147" s="51"/>
      <c r="G147" s="15"/>
      <c r="H147" s="46" t="e">
        <f>SUM(H16+H46+H56+H126+H131)</f>
        <v>#REF!</v>
      </c>
      <c r="I147" s="10"/>
      <c r="J147" s="46" t="e">
        <f>SUM(J16+J46+J56+J126+J131+J61)</f>
        <v>#REF!</v>
      </c>
      <c r="K147" s="10"/>
      <c r="L147" s="16" t="e">
        <f>J147/H147</f>
        <v>#REF!</v>
      </c>
      <c r="M147" s="10"/>
      <c r="N147" s="16">
        <f>$F$1</f>
        <v>1</v>
      </c>
      <c r="O147" s="8"/>
      <c r="P147" s="46" t="e">
        <f>SUM(P16+P46+P56+P126+P131+P61)</f>
        <v>#REF!</v>
      </c>
      <c r="Q147" s="10"/>
      <c r="R147" s="16">
        <f t="shared" si="57"/>
        <v>0</v>
      </c>
      <c r="S147" s="10"/>
      <c r="T147" s="40">
        <f t="shared" si="56"/>
        <v>0.9</v>
      </c>
      <c r="U147" s="8"/>
    </row>
    <row r="148" spans="1:21" ht="15.75" customHeight="1" thickBot="1" x14ac:dyDescent="0.3">
      <c r="A148" s="522"/>
      <c r="B148" s="50" t="s">
        <v>13</v>
      </c>
      <c r="C148" s="50"/>
      <c r="D148" s="50"/>
      <c r="E148" s="50"/>
      <c r="F148" s="51"/>
      <c r="G148" s="8"/>
      <c r="H148" s="46" t="e">
        <f>SUM(H145+H146+H147)</f>
        <v>#REF!</v>
      </c>
      <c r="I148" s="10"/>
      <c r="J148" s="46" t="e">
        <f>SUM(J145+J146+J147)</f>
        <v>#REF!</v>
      </c>
      <c r="K148" s="10"/>
      <c r="L148" s="16" t="e">
        <f>J148/H148</f>
        <v>#REF!</v>
      </c>
      <c r="M148" s="10"/>
      <c r="N148" s="16">
        <f>$F$1</f>
        <v>1</v>
      </c>
      <c r="O148" s="8"/>
      <c r="P148" s="46" t="e">
        <f>SUM(P145+P146+P147)</f>
        <v>#REF!</v>
      </c>
      <c r="Q148" s="10"/>
      <c r="R148" s="16">
        <f t="shared" si="57"/>
        <v>0</v>
      </c>
      <c r="S148" s="10"/>
      <c r="T148" s="40">
        <f t="shared" si="56"/>
        <v>0.9</v>
      </c>
      <c r="U148" s="8"/>
    </row>
    <row r="149" spans="1:21" ht="15.75" thickBot="1" x14ac:dyDescent="0.3">
      <c r="H149"/>
      <c r="J149"/>
      <c r="P149"/>
    </row>
    <row r="150" spans="1:21" ht="15.75" x14ac:dyDescent="0.25">
      <c r="A150" s="523" t="s">
        <v>41</v>
      </c>
      <c r="B150" s="50" t="s">
        <v>10</v>
      </c>
      <c r="C150" s="50"/>
      <c r="D150" s="50"/>
      <c r="E150" s="50"/>
      <c r="F150" s="51"/>
      <c r="G150" s="15"/>
      <c r="H150" s="46" t="e">
        <f>SUM(H59+H69+H74+H79+H84)</f>
        <v>#REF!</v>
      </c>
      <c r="I150" s="10"/>
      <c r="J150" s="46" t="e">
        <f>SUM(J69+J74+J79+J84+J64+J134)</f>
        <v>#REF!</v>
      </c>
      <c r="K150" s="10"/>
      <c r="L150" s="16" t="e">
        <f>J150/H150</f>
        <v>#REF!</v>
      </c>
      <c r="M150" s="10"/>
      <c r="N150" s="16">
        <f>$F$1</f>
        <v>1</v>
      </c>
      <c r="O150" s="8"/>
      <c r="P150" s="46" t="e">
        <f>SUM(P59+P69+P74+P79+P84+P134)</f>
        <v>#REF!</v>
      </c>
      <c r="Q150" s="10"/>
      <c r="R150" s="16">
        <f t="shared" ref="R150:R153" si="58">IFERROR(P150/J150,0)</f>
        <v>0</v>
      </c>
      <c r="S150" s="10"/>
      <c r="T150" s="40">
        <f t="shared" si="56"/>
        <v>0.9</v>
      </c>
    </row>
    <row r="151" spans="1:21" ht="15.75" x14ac:dyDescent="0.25">
      <c r="A151" s="524"/>
      <c r="B151" s="50" t="s">
        <v>11</v>
      </c>
      <c r="C151" s="50"/>
      <c r="D151" s="50"/>
      <c r="E151" s="50"/>
      <c r="F151" s="51"/>
      <c r="G151" s="15"/>
      <c r="H151" s="46" t="e">
        <f>SUM(H60+H70+H75+H80+H85)</f>
        <v>#REF!</v>
      </c>
      <c r="I151" s="10"/>
      <c r="J151" s="46" t="e">
        <f>SUM(J70+J75+J80+J85+J65+J135)</f>
        <v>#REF!</v>
      </c>
      <c r="K151" s="10"/>
      <c r="L151" s="16" t="e">
        <f>J151/H151</f>
        <v>#REF!</v>
      </c>
      <c r="M151" s="10"/>
      <c r="N151" s="16">
        <f>$F$1</f>
        <v>1</v>
      </c>
      <c r="O151" s="8"/>
      <c r="P151" s="46" t="e">
        <f>SUM(P60+P70+P75+P80+P85+P135)</f>
        <v>#REF!</v>
      </c>
      <c r="Q151" s="10"/>
      <c r="R151" s="16">
        <f t="shared" si="58"/>
        <v>0</v>
      </c>
      <c r="S151" s="10"/>
      <c r="T151" s="40">
        <f t="shared" si="56"/>
        <v>0.9</v>
      </c>
    </row>
    <row r="152" spans="1:21" ht="15.75" x14ac:dyDescent="0.25">
      <c r="A152" s="524"/>
      <c r="B152" s="50" t="s">
        <v>12</v>
      </c>
      <c r="C152" s="50"/>
      <c r="D152" s="50"/>
      <c r="E152" s="50"/>
      <c r="F152" s="51"/>
      <c r="G152" s="15"/>
      <c r="H152" s="46" t="e">
        <f>SUM(H61+H71+H76+H81+H86)</f>
        <v>#REF!</v>
      </c>
      <c r="I152" s="10"/>
      <c r="J152" s="46" t="e">
        <f>SUM(J71+J76+J81+J86+J66+J136)</f>
        <v>#REF!</v>
      </c>
      <c r="K152" s="10"/>
      <c r="L152" s="16" t="e">
        <f>J152/H152</f>
        <v>#REF!</v>
      </c>
      <c r="M152" s="10"/>
      <c r="N152" s="16">
        <f>$F$1</f>
        <v>1</v>
      </c>
      <c r="O152" s="8"/>
      <c r="P152" s="46" t="e">
        <f>SUM(P61+P71+P76+P81+P86+P136)</f>
        <v>#REF!</v>
      </c>
      <c r="Q152" s="10"/>
      <c r="R152" s="16">
        <f t="shared" si="58"/>
        <v>0</v>
      </c>
      <c r="S152" s="10"/>
      <c r="T152" s="40">
        <f t="shared" si="56"/>
        <v>0.9</v>
      </c>
    </row>
    <row r="153" spans="1:21" ht="15.75" thickBot="1" x14ac:dyDescent="0.3">
      <c r="A153" s="525"/>
      <c r="B153" s="50" t="s">
        <v>13</v>
      </c>
      <c r="C153" s="50"/>
      <c r="D153" s="50"/>
      <c r="E153" s="50"/>
      <c r="F153" s="51"/>
      <c r="G153" s="8"/>
      <c r="H153" s="46" t="e">
        <f>SUM(H150+H151+H152)</f>
        <v>#REF!</v>
      </c>
      <c r="I153" s="10"/>
      <c r="J153" s="46" t="e">
        <f>SUM(J150+J151+J152)</f>
        <v>#REF!</v>
      </c>
      <c r="K153" s="10"/>
      <c r="L153" s="16" t="e">
        <f>J153/H153</f>
        <v>#REF!</v>
      </c>
      <c r="M153" s="10"/>
      <c r="N153" s="16">
        <f>$F$1</f>
        <v>1</v>
      </c>
      <c r="O153" s="8"/>
      <c r="P153" s="46" t="e">
        <f>SUM(P150+P151+P152)</f>
        <v>#REF!</v>
      </c>
      <c r="Q153" s="10"/>
      <c r="R153" s="16">
        <f t="shared" si="58"/>
        <v>0</v>
      </c>
      <c r="S153" s="10"/>
      <c r="T153" s="40">
        <f t="shared" si="56"/>
        <v>0.9</v>
      </c>
    </row>
    <row r="154" spans="1:21" ht="15.75" thickBot="1" x14ac:dyDescent="0.3">
      <c r="H154"/>
      <c r="J154"/>
      <c r="P154"/>
    </row>
    <row r="155" spans="1:21" ht="15.75" x14ac:dyDescent="0.25">
      <c r="A155" s="526" t="s">
        <v>42</v>
      </c>
      <c r="B155" s="50" t="s">
        <v>10</v>
      </c>
      <c r="C155" s="50"/>
      <c r="D155" s="50"/>
      <c r="E155" s="50"/>
      <c r="F155" s="51"/>
      <c r="G155" s="15"/>
      <c r="H155" s="46" t="e">
        <f>SUM(H89+H94+H99+H104+H109+H114+H119)</f>
        <v>#REF!</v>
      </c>
      <c r="I155" s="10"/>
      <c r="J155" s="46" t="e">
        <f>SUM(J89+J94+J99+J104+J109+J114+J119)</f>
        <v>#REF!</v>
      </c>
      <c r="K155" s="10"/>
      <c r="L155" s="16" t="e">
        <f>J155/H155</f>
        <v>#REF!</v>
      </c>
      <c r="M155" s="10"/>
      <c r="N155" s="16">
        <f>$F$1</f>
        <v>1</v>
      </c>
      <c r="O155" s="8"/>
      <c r="P155" s="46" t="e">
        <f>SUM(P89+P94+P99+P104+P109+P114+P119)</f>
        <v>#REF!</v>
      </c>
      <c r="Q155" s="10"/>
      <c r="R155" s="16">
        <f t="shared" ref="R155:R158" si="59">IFERROR(P155/J155,0)</f>
        <v>0</v>
      </c>
      <c r="S155" s="10"/>
      <c r="T155" s="40">
        <f t="shared" si="56"/>
        <v>0.9</v>
      </c>
    </row>
    <row r="156" spans="1:21" ht="15.75" x14ac:dyDescent="0.25">
      <c r="A156" s="527"/>
      <c r="B156" s="50" t="s">
        <v>11</v>
      </c>
      <c r="C156" s="50"/>
      <c r="D156" s="50"/>
      <c r="E156" s="50"/>
      <c r="F156" s="51"/>
      <c r="G156" s="15"/>
      <c r="H156" s="46" t="e">
        <f>SUM(H90+H95+H100+H105+H110+H115+H120)</f>
        <v>#REF!</v>
      </c>
      <c r="I156" s="10"/>
      <c r="J156" s="46" t="e">
        <f>SUM(J90+J95+J100+J105+J110+J115+J120)</f>
        <v>#REF!</v>
      </c>
      <c r="K156" s="10"/>
      <c r="L156" s="16" t="e">
        <f>J156/H156</f>
        <v>#REF!</v>
      </c>
      <c r="M156" s="10"/>
      <c r="N156" s="16">
        <f>$F$1</f>
        <v>1</v>
      </c>
      <c r="O156" s="8"/>
      <c r="P156" s="46" t="e">
        <f>SUM(P90+P95+P100+P105+P110+P115+P120)</f>
        <v>#REF!</v>
      </c>
      <c r="Q156" s="10"/>
      <c r="R156" s="16">
        <f t="shared" si="59"/>
        <v>0</v>
      </c>
      <c r="S156" s="10"/>
      <c r="T156" s="40">
        <f t="shared" si="56"/>
        <v>0.9</v>
      </c>
    </row>
    <row r="157" spans="1:21" ht="15.75" x14ac:dyDescent="0.25">
      <c r="A157" s="527"/>
      <c r="B157" s="50" t="s">
        <v>12</v>
      </c>
      <c r="C157" s="50"/>
      <c r="D157" s="50"/>
      <c r="E157" s="50"/>
      <c r="F157" s="51"/>
      <c r="G157" s="15"/>
      <c r="H157" s="46" t="e">
        <f>SUM(H91+H96+H101+H106+H111+H116+H121)</f>
        <v>#REF!</v>
      </c>
      <c r="I157" s="10"/>
      <c r="J157" s="46" t="e">
        <f>SUM(J91+J96+J101+J106+J111+J116+J121)</f>
        <v>#REF!</v>
      </c>
      <c r="K157" s="10"/>
      <c r="L157" s="16" t="e">
        <f>J157/H157</f>
        <v>#REF!</v>
      </c>
      <c r="M157" s="10"/>
      <c r="N157" s="16">
        <f>$F$1</f>
        <v>1</v>
      </c>
      <c r="O157" s="8"/>
      <c r="P157" s="46" t="e">
        <f>SUM(P91+P96+P101+P106+P111+P116+P121)</f>
        <v>#REF!</v>
      </c>
      <c r="Q157" s="10"/>
      <c r="R157" s="16">
        <f t="shared" si="59"/>
        <v>0</v>
      </c>
      <c r="S157" s="10"/>
      <c r="T157" s="40">
        <f t="shared" si="56"/>
        <v>0.9</v>
      </c>
    </row>
    <row r="158" spans="1:21" ht="15.75" thickBot="1" x14ac:dyDescent="0.3">
      <c r="A158" s="528"/>
      <c r="B158" s="50" t="s">
        <v>13</v>
      </c>
      <c r="C158" s="50"/>
      <c r="D158" s="50"/>
      <c r="E158" s="50"/>
      <c r="F158" s="51"/>
      <c r="G158" s="8"/>
      <c r="H158" s="46" t="e">
        <f>SUM(H155+H156+H157)</f>
        <v>#REF!</v>
      </c>
      <c r="I158" s="10"/>
      <c r="J158" s="46" t="e">
        <f>SUM(J155+J156+J157)</f>
        <v>#REF!</v>
      </c>
      <c r="K158" s="10"/>
      <c r="L158" s="16" t="e">
        <f>J158/H158</f>
        <v>#REF!</v>
      </c>
      <c r="M158" s="10"/>
      <c r="N158" s="16">
        <f>$F$1</f>
        <v>1</v>
      </c>
      <c r="O158" s="8"/>
      <c r="P158" s="46" t="e">
        <f>SUM(P155+P156+P157)</f>
        <v>#REF!</v>
      </c>
      <c r="Q158" s="10"/>
      <c r="R158" s="16">
        <f t="shared" si="59"/>
        <v>0</v>
      </c>
      <c r="S158" s="10"/>
      <c r="T158" s="40">
        <f t="shared" si="56"/>
        <v>0.9</v>
      </c>
    </row>
    <row r="159" spans="1:21" ht="15.75" thickBot="1" x14ac:dyDescent="0.3">
      <c r="H159"/>
      <c r="J159"/>
      <c r="P159"/>
    </row>
    <row r="160" spans="1:21" ht="29.25" customHeight="1" thickBot="1" x14ac:dyDescent="0.3">
      <c r="E160" s="149" t="s">
        <v>43</v>
      </c>
      <c r="F160" s="150"/>
      <c r="H160" s="151" t="e">
        <f>SUM(H143+H148+H154+H158)</f>
        <v>#REF!</v>
      </c>
      <c r="J160" s="151" t="e">
        <f>SUM(J143+J148+J153+J158)</f>
        <v>#REF!</v>
      </c>
      <c r="L160" s="152" t="e">
        <f>SUM(J160/H160)</f>
        <v>#REF!</v>
      </c>
      <c r="N160" s="16">
        <f>$F$1</f>
        <v>1</v>
      </c>
      <c r="P160" s="151" t="e">
        <f>SUM(P143+P148+P153+P158)</f>
        <v>#REF!</v>
      </c>
      <c r="R160" s="152">
        <f>IFERROR(P160/J160,0)</f>
        <v>0</v>
      </c>
      <c r="T160" s="153">
        <f>IFERROR(P160/J160,0)</f>
        <v>0</v>
      </c>
    </row>
  </sheetData>
  <sheetProtection sheet="1" objects="1" scenarios="1"/>
  <mergeCells count="139">
    <mergeCell ref="A140:A143"/>
    <mergeCell ref="A145:A148"/>
    <mergeCell ref="A150:A153"/>
    <mergeCell ref="A155:A158"/>
    <mergeCell ref="A124:A127"/>
    <mergeCell ref="B124:F124"/>
    <mergeCell ref="B125:F125"/>
    <mergeCell ref="B126:F126"/>
    <mergeCell ref="B127:F127"/>
    <mergeCell ref="A129:A132"/>
    <mergeCell ref="B129:F129"/>
    <mergeCell ref="B130:F130"/>
    <mergeCell ref="B131:F131"/>
    <mergeCell ref="B132:F132"/>
    <mergeCell ref="A134:A137"/>
    <mergeCell ref="B134:F134"/>
    <mergeCell ref="B135:F135"/>
    <mergeCell ref="B136:F136"/>
    <mergeCell ref="B137:F137"/>
    <mergeCell ref="A114:A117"/>
    <mergeCell ref="B114:F114"/>
    <mergeCell ref="B115:F115"/>
    <mergeCell ref="B116:F116"/>
    <mergeCell ref="B117:F117"/>
    <mergeCell ref="A119:A122"/>
    <mergeCell ref="B119:F119"/>
    <mergeCell ref="B120:F120"/>
    <mergeCell ref="B121:F121"/>
    <mergeCell ref="B122:F122"/>
    <mergeCell ref="A104:A107"/>
    <mergeCell ref="B104:F104"/>
    <mergeCell ref="B105:F105"/>
    <mergeCell ref="B106:F106"/>
    <mergeCell ref="B107:F107"/>
    <mergeCell ref="A109:A112"/>
    <mergeCell ref="B109:F109"/>
    <mergeCell ref="B110:F110"/>
    <mergeCell ref="B111:F111"/>
    <mergeCell ref="B112:F112"/>
    <mergeCell ref="A94:A97"/>
    <mergeCell ref="B94:F94"/>
    <mergeCell ref="B95:F95"/>
    <mergeCell ref="B96:F96"/>
    <mergeCell ref="B97:F97"/>
    <mergeCell ref="A99:A102"/>
    <mergeCell ref="B99:F99"/>
    <mergeCell ref="B100:F100"/>
    <mergeCell ref="B101:F101"/>
    <mergeCell ref="B102:F102"/>
    <mergeCell ref="A84:A87"/>
    <mergeCell ref="B84:F84"/>
    <mergeCell ref="B85:F85"/>
    <mergeCell ref="B86:F86"/>
    <mergeCell ref="B87:F87"/>
    <mergeCell ref="A89:A92"/>
    <mergeCell ref="B89:F89"/>
    <mergeCell ref="B90:F90"/>
    <mergeCell ref="B91:F91"/>
    <mergeCell ref="B92:F92"/>
    <mergeCell ref="A74:A77"/>
    <mergeCell ref="B74:F74"/>
    <mergeCell ref="B75:F75"/>
    <mergeCell ref="B76:F76"/>
    <mergeCell ref="B77:F77"/>
    <mergeCell ref="A79:A82"/>
    <mergeCell ref="B79:F79"/>
    <mergeCell ref="B80:F80"/>
    <mergeCell ref="B81:F81"/>
    <mergeCell ref="B82:F82"/>
    <mergeCell ref="A64:A67"/>
    <mergeCell ref="B64:F64"/>
    <mergeCell ref="B65:F65"/>
    <mergeCell ref="B66:F66"/>
    <mergeCell ref="B67:F67"/>
    <mergeCell ref="A69:A72"/>
    <mergeCell ref="B69:F69"/>
    <mergeCell ref="B70:F70"/>
    <mergeCell ref="B71:F71"/>
    <mergeCell ref="B72:F72"/>
    <mergeCell ref="A54:A57"/>
    <mergeCell ref="B54:F54"/>
    <mergeCell ref="B55:F55"/>
    <mergeCell ref="B56:F56"/>
    <mergeCell ref="B57:F57"/>
    <mergeCell ref="A59:A62"/>
    <mergeCell ref="B59:F59"/>
    <mergeCell ref="B60:F60"/>
    <mergeCell ref="B61:F61"/>
    <mergeCell ref="B62:F62"/>
    <mergeCell ref="A44:A47"/>
    <mergeCell ref="B44:F44"/>
    <mergeCell ref="B45:F45"/>
    <mergeCell ref="B46:F46"/>
    <mergeCell ref="B47:F47"/>
    <mergeCell ref="A49:A52"/>
    <mergeCell ref="B49:F49"/>
    <mergeCell ref="B50:F50"/>
    <mergeCell ref="B51:F51"/>
    <mergeCell ref="B52:F52"/>
    <mergeCell ref="A34:A37"/>
    <mergeCell ref="B34:F34"/>
    <mergeCell ref="B35:F35"/>
    <mergeCell ref="B36:F36"/>
    <mergeCell ref="B37:F37"/>
    <mergeCell ref="A39:A42"/>
    <mergeCell ref="B39:F39"/>
    <mergeCell ref="B40:F40"/>
    <mergeCell ref="B41:F41"/>
    <mergeCell ref="B42:F42"/>
    <mergeCell ref="A24:A27"/>
    <mergeCell ref="B24:F24"/>
    <mergeCell ref="B25:F25"/>
    <mergeCell ref="B26:F26"/>
    <mergeCell ref="B27:F27"/>
    <mergeCell ref="A29:A32"/>
    <mergeCell ref="B29:F29"/>
    <mergeCell ref="B30:F30"/>
    <mergeCell ref="B31:F31"/>
    <mergeCell ref="B32:F32"/>
    <mergeCell ref="A14:A17"/>
    <mergeCell ref="B14:F14"/>
    <mergeCell ref="B15:F15"/>
    <mergeCell ref="B16:F16"/>
    <mergeCell ref="B17:F17"/>
    <mergeCell ref="A19:A22"/>
    <mergeCell ref="B19:F19"/>
    <mergeCell ref="B20:F20"/>
    <mergeCell ref="B21:F21"/>
    <mergeCell ref="B22:F22"/>
    <mergeCell ref="A4:A7"/>
    <mergeCell ref="B4:F4"/>
    <mergeCell ref="B5:F5"/>
    <mergeCell ref="B6:F6"/>
    <mergeCell ref="B7:F7"/>
    <mergeCell ref="A9:A12"/>
    <mergeCell ref="B9:F9"/>
    <mergeCell ref="B10:F10"/>
    <mergeCell ref="B11:F11"/>
    <mergeCell ref="B12:F12"/>
  </mergeCells>
  <conditionalFormatting sqref="N4:N7 N9:N12 N14:N17 N19:N22 N24:N27 N29:N32 N34:N37 N39:N42 N44:N47 N49:N52 N54:N57 N59:N62 N64:N67 N69:N72 N74:N77 N79:N82 N84:N87 N89:N92 N94:N97 N99:N102 N104:N107 N109:N112 N114:N117 N119:N122 N124:N127 N129:N132 N140:N143 N145:N148 N150:N153 N155:N158 N160 N138">
    <cfRule type="expression" dxfId="223" priority="10">
      <formula>$L4=$N4</formula>
    </cfRule>
    <cfRule type="expression" dxfId="222" priority="11">
      <formula>$L4&gt;$N4</formula>
    </cfRule>
    <cfRule type="expression" dxfId="221" priority="12">
      <formula>$L4&lt;$N4</formula>
    </cfRule>
  </conditionalFormatting>
  <conditionalFormatting sqref="T4:T7 T9:T12 T14:T17 T19:T22 T24:T27 T29:T32 T34:T37 T39:T42 T44:T47 T49:T52 T54:T57 T59:T62 T64:T67 T69:T72 T74:T77 T79:T82 T84:T87 T89:T92 T94:T97 T99:T102 T104:T107 T109:T112 T114:T117 T119:T122 T124:T127 T129:T132 T140:T143 T145:T148 T150:T153 T155:T158 T160 T138">
    <cfRule type="expression" dxfId="220" priority="7">
      <formula>$R4=$T4</formula>
    </cfRule>
    <cfRule type="expression" dxfId="219" priority="8">
      <formula>$R4&gt;$T4</formula>
    </cfRule>
    <cfRule type="expression" dxfId="218" priority="9">
      <formula>$R4&lt;$T4</formula>
    </cfRule>
  </conditionalFormatting>
  <conditionalFormatting sqref="N134:N137">
    <cfRule type="expression" dxfId="217" priority="4">
      <formula>$L134=$N134</formula>
    </cfRule>
    <cfRule type="expression" dxfId="216" priority="5">
      <formula>$L134&gt;$N134</formula>
    </cfRule>
    <cfRule type="expression" dxfId="215" priority="6">
      <formula>$L134&lt;$N134</formula>
    </cfRule>
  </conditionalFormatting>
  <conditionalFormatting sqref="T134:T137">
    <cfRule type="expression" dxfId="214" priority="1">
      <formula>$R134=$T134</formula>
    </cfRule>
    <cfRule type="expression" dxfId="213" priority="2">
      <formula>$R134&gt;$T134</formula>
    </cfRule>
    <cfRule type="expression" dxfId="212" priority="3">
      <formula>$R134&lt;$T134</formula>
    </cfRule>
  </conditionalFormatting>
  <pageMargins left="0.7" right="0.7" top="0.75" bottom="0.75" header="0.3" footer="0.3"/>
  <pageSetup paperSize="9" scale="45" fitToWidth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AE159"/>
  <sheetViews>
    <sheetView zoomScale="120" zoomScaleNormal="120" workbookViewId="0">
      <selection activeCell="Q1" sqref="Q1"/>
    </sheetView>
  </sheetViews>
  <sheetFormatPr defaultRowHeight="15" x14ac:dyDescent="0.25"/>
  <cols>
    <col min="1" max="1" width="33" customWidth="1"/>
    <col min="2" max="2" width="7.85546875" customWidth="1"/>
    <col min="3" max="3" width="14.140625" customWidth="1"/>
    <col min="4" max="4" width="4.140625" customWidth="1"/>
    <col min="5" max="5" width="7.85546875" customWidth="1"/>
    <col min="6" max="6" width="6.140625" customWidth="1"/>
    <col min="7" max="7" width="2.140625" customWidth="1"/>
    <col min="8" max="8" width="10.85546875" style="49" customWidth="1"/>
    <col min="9" max="9" width="2.140625" customWidth="1"/>
    <col min="10" max="10" width="11" style="49" customWidth="1"/>
    <col min="11" max="11" width="2.85546875" customWidth="1"/>
    <col min="12" max="12" width="14.5703125" customWidth="1"/>
    <col min="13" max="13" width="2.140625" customWidth="1"/>
    <col min="14" max="14" width="9.140625" customWidth="1"/>
    <col min="15" max="15" width="2.140625" customWidth="1"/>
    <col min="16" max="16" width="13.42578125" style="49" customWidth="1"/>
    <col min="17" max="17" width="5.85546875" customWidth="1"/>
    <col min="18" max="18" width="20.140625" customWidth="1"/>
    <col min="19" max="19" width="1.140625" customWidth="1"/>
    <col min="20" max="21" width="9.85546875" customWidth="1"/>
    <col min="22" max="29" width="9.140625" customWidth="1"/>
  </cols>
  <sheetData>
    <row r="1" spans="1:31" ht="26.25" customHeight="1" x14ac:dyDescent="0.25">
      <c r="A1" s="8"/>
      <c r="B1" s="9" t="s">
        <v>0</v>
      </c>
      <c r="C1" s="187">
        <v>44011</v>
      </c>
      <c r="D1" s="8"/>
      <c r="E1" s="9" t="s">
        <v>1</v>
      </c>
      <c r="F1" s="65">
        <v>1</v>
      </c>
      <c r="G1" s="8"/>
      <c r="H1" s="47"/>
      <c r="I1" s="10"/>
      <c r="J1" s="47"/>
      <c r="K1" s="10"/>
      <c r="L1" s="11"/>
      <c r="M1" s="10"/>
      <c r="N1" s="11"/>
      <c r="O1" s="8"/>
      <c r="P1" s="46" t="s">
        <v>2</v>
      </c>
      <c r="Q1" s="65">
        <v>0.9</v>
      </c>
      <c r="R1" s="12"/>
      <c r="S1" s="12"/>
      <c r="T1" s="8"/>
      <c r="U1" s="8"/>
      <c r="AC1" t="s">
        <v>3</v>
      </c>
    </row>
    <row r="2" spans="1:31" ht="43.5" customHeight="1" x14ac:dyDescent="0.25">
      <c r="A2" s="13"/>
      <c r="B2" s="13"/>
      <c r="C2" s="13"/>
      <c r="D2" s="13"/>
      <c r="E2" s="13"/>
      <c r="F2" s="13"/>
      <c r="G2" s="13"/>
      <c r="H2" s="17" t="s">
        <v>4</v>
      </c>
      <c r="I2" s="13"/>
      <c r="J2" s="17" t="s">
        <v>5</v>
      </c>
      <c r="K2" s="13"/>
      <c r="L2" s="14" t="s">
        <v>6</v>
      </c>
      <c r="M2" s="13"/>
      <c r="N2" s="14" t="s">
        <v>2</v>
      </c>
      <c r="O2" s="13"/>
      <c r="P2" s="17" t="s">
        <v>7</v>
      </c>
      <c r="Q2" s="13"/>
      <c r="R2" s="13" t="s">
        <v>8</v>
      </c>
      <c r="S2" s="13"/>
      <c r="T2" s="13" t="s">
        <v>2</v>
      </c>
      <c r="U2" s="13"/>
    </row>
    <row r="3" spans="1:31" x14ac:dyDescent="0.25">
      <c r="A3" s="13"/>
      <c r="B3" s="13"/>
      <c r="C3" s="13"/>
      <c r="D3" s="13"/>
      <c r="E3" s="13"/>
      <c r="F3" s="13"/>
      <c r="G3" s="13"/>
      <c r="H3" s="17"/>
      <c r="I3" s="13"/>
      <c r="J3" s="17"/>
      <c r="K3" s="13"/>
      <c r="L3" s="14"/>
      <c r="M3" s="13"/>
      <c r="N3" s="14"/>
      <c r="O3" s="13"/>
      <c r="P3" s="17"/>
      <c r="Q3" s="13"/>
      <c r="R3" s="13"/>
      <c r="S3" s="13"/>
      <c r="T3" s="13"/>
      <c r="U3" s="13"/>
    </row>
    <row r="4" spans="1:31" ht="15.75" x14ac:dyDescent="0.25">
      <c r="A4" s="502" t="s">
        <v>1386</v>
      </c>
      <c r="B4" s="504" t="s">
        <v>10</v>
      </c>
      <c r="C4" s="504"/>
      <c r="D4" s="504"/>
      <c r="E4" s="504"/>
      <c r="F4" s="504"/>
      <c r="G4" s="15"/>
      <c r="H4" s="46" t="e">
        <f>COUNTIFS(tbl_cleaning[Housing Team],"HOUSING WEST TEAM 1",#REF!,"&lt;&gt;NV")</f>
        <v>#REF!</v>
      </c>
      <c r="I4" s="10"/>
      <c r="J4" s="46" t="e" cm="1">
        <f t="array" ref="J4">SUM(COUNTIFS(tbl_cleaning[Housing Team],"HOUSING WEST TEAM 1",#REF!,{"1","2","3","4"}))</f>
        <v>#REF!</v>
      </c>
      <c r="K4" s="10"/>
      <c r="L4" s="16" t="e">
        <f>J4/H4</f>
        <v>#REF!</v>
      </c>
      <c r="M4" s="10"/>
      <c r="N4" s="16">
        <f>$F$1</f>
        <v>1</v>
      </c>
      <c r="O4" s="8"/>
      <c r="P4" s="46" t="e">
        <f>COUNTIFS(tbl_cleaning[Housing Team],"HOUSING WEST TEAM 1",#REF!,3)+COUNTIFS(tbl_cleaning[Housing Team],"HOUSING WEST TEAM 1",#REF!,4)</f>
        <v>#REF!</v>
      </c>
      <c r="Q4" s="10"/>
      <c r="R4" s="16">
        <f t="shared" ref="R4:R7" si="0">IFERROR(P4/J4,0)</f>
        <v>0</v>
      </c>
      <c r="S4" s="10"/>
      <c r="T4" s="40">
        <f>$Q$1</f>
        <v>0.9</v>
      </c>
      <c r="U4" s="13"/>
    </row>
    <row r="5" spans="1:31" ht="15.75" x14ac:dyDescent="0.25">
      <c r="A5" s="502"/>
      <c r="B5" s="504" t="s">
        <v>11</v>
      </c>
      <c r="C5" s="504"/>
      <c r="D5" s="504"/>
      <c r="E5" s="504"/>
      <c r="F5" s="504"/>
      <c r="G5" s="15"/>
      <c r="H5" s="46" t="e">
        <f>COUNTIFS(tbl_cleaning[Housing Team],"HOUSING WEST TEAM 1",#REF!,"&lt;&gt;NV")</f>
        <v>#REF!</v>
      </c>
      <c r="I5" s="10"/>
      <c r="J5" s="46" t="e" cm="1">
        <f t="array" ref="J5">SUM(COUNTIFS(tbl_cleaning[Housing Team],"HOUSING WEST TEAM 1",#REF!,{"1","2","3","4"}))</f>
        <v>#REF!</v>
      </c>
      <c r="K5" s="10"/>
      <c r="L5" s="16" t="e">
        <f>J5/H5</f>
        <v>#REF!</v>
      </c>
      <c r="M5" s="10"/>
      <c r="N5" s="16">
        <f>$F$1</f>
        <v>1</v>
      </c>
      <c r="O5" s="8"/>
      <c r="P5" s="46" t="e">
        <f>COUNTIFS(tbl_cleaning[Housing Team],"HOUSING WEST TEAM 1",#REF!,3)+COUNTIFS(tbl_cleaning[Housing Team],"HOUSING WEST TEAM 1",#REF!,4)</f>
        <v>#REF!</v>
      </c>
      <c r="Q5" s="10"/>
      <c r="R5" s="16">
        <f t="shared" si="0"/>
        <v>0</v>
      </c>
      <c r="S5" s="10"/>
      <c r="T5" s="40">
        <f t="shared" ref="T5:T7" si="1">$Q$1</f>
        <v>0.9</v>
      </c>
      <c r="U5" s="13"/>
    </row>
    <row r="6" spans="1:31" ht="15.75" x14ac:dyDescent="0.25">
      <c r="A6" s="502"/>
      <c r="B6" s="504" t="s">
        <v>12</v>
      </c>
      <c r="C6" s="504"/>
      <c r="D6" s="504"/>
      <c r="E6" s="504"/>
      <c r="F6" s="504"/>
      <c r="G6" s="15"/>
      <c r="H6" s="46" t="e">
        <f>COUNTIFS(#REF!,"HOUSING WEST TEAM 1",#REF!,"&lt;&gt;NV")</f>
        <v>#REF!</v>
      </c>
      <c r="I6" s="10"/>
      <c r="J6" s="46" t="e">
        <f t="array" ref="J6">SUM(COUNTIFS(#REF!,"HOUSING WEST TEAM 1",#REF!,{"1","2","3","4"}))</f>
        <v>#REF!</v>
      </c>
      <c r="K6" s="10"/>
      <c r="L6" s="16" t="e">
        <f>J6/H6</f>
        <v>#REF!</v>
      </c>
      <c r="M6" s="10"/>
      <c r="N6" s="16">
        <f>$F$1</f>
        <v>1</v>
      </c>
      <c r="O6" s="8"/>
      <c r="P6" s="46" t="e">
        <f>COUNTIFS(#REF!,"HOUSING WEST TEAM 1",#REF!,3)+COUNTIFS(#REF!,"HOUSING WEST TEAM 1",#REF!,4)</f>
        <v>#REF!</v>
      </c>
      <c r="Q6" s="10"/>
      <c r="R6" s="16">
        <f t="shared" si="0"/>
        <v>0</v>
      </c>
      <c r="S6" s="10"/>
      <c r="T6" s="40">
        <f t="shared" si="1"/>
        <v>0.9</v>
      </c>
      <c r="U6" s="13"/>
    </row>
    <row r="7" spans="1:31" x14ac:dyDescent="0.25">
      <c r="A7" s="503"/>
      <c r="B7" s="504" t="s">
        <v>13</v>
      </c>
      <c r="C7" s="504"/>
      <c r="D7" s="504"/>
      <c r="E7" s="504"/>
      <c r="F7" s="504"/>
      <c r="G7" s="8"/>
      <c r="H7" s="46" t="e">
        <f>H4+H5+H6</f>
        <v>#REF!</v>
      </c>
      <c r="I7" s="10"/>
      <c r="J7" s="46" t="e">
        <f>SUM(J4:J6)</f>
        <v>#REF!</v>
      </c>
      <c r="K7" s="10"/>
      <c r="L7" s="16" t="e">
        <f>J7/H7</f>
        <v>#REF!</v>
      </c>
      <c r="M7" s="10"/>
      <c r="N7" s="16">
        <f>$F$1</f>
        <v>1</v>
      </c>
      <c r="O7" s="8"/>
      <c r="P7" s="46" t="e">
        <f>SUM(P4:P6)</f>
        <v>#REF!</v>
      </c>
      <c r="Q7" s="10"/>
      <c r="R7" s="16">
        <f t="shared" si="0"/>
        <v>0</v>
      </c>
      <c r="S7" s="10"/>
      <c r="T7" s="40">
        <f t="shared" si="1"/>
        <v>0.9</v>
      </c>
      <c r="U7" s="13"/>
    </row>
    <row r="8" spans="1:31" x14ac:dyDescent="0.25">
      <c r="H8"/>
      <c r="J8"/>
      <c r="P8"/>
    </row>
    <row r="9" spans="1:31" ht="15.75" x14ac:dyDescent="0.25">
      <c r="A9" s="502" t="s">
        <v>1385</v>
      </c>
      <c r="B9" s="504" t="s">
        <v>10</v>
      </c>
      <c r="C9" s="504"/>
      <c r="D9" s="504"/>
      <c r="E9" s="504"/>
      <c r="F9" s="504"/>
      <c r="G9" s="15"/>
      <c r="H9" s="46" t="e">
        <f>COUNTIFS(tbl_cleaning[Housing Team],"HOUSING WEST TEAM 2",#REF!,"&lt;&gt;NV")</f>
        <v>#REF!</v>
      </c>
      <c r="I9" s="10"/>
      <c r="J9" s="46" t="e" cm="1">
        <f t="array" ref="J9">SUM(COUNTIFS(tbl_cleaning[Housing Team],"HOUSING WEST TEAM 2",#REF!,{"1","2","3","4"}))</f>
        <v>#REF!</v>
      </c>
      <c r="K9" s="10"/>
      <c r="L9" s="16" t="e">
        <f>J9/H9</f>
        <v>#REF!</v>
      </c>
      <c r="M9" s="10"/>
      <c r="N9" s="16">
        <f>$F$1</f>
        <v>1</v>
      </c>
      <c r="O9" s="8"/>
      <c r="P9" s="46" t="e">
        <f>COUNTIFS(tbl_cleaning[Housing Team],"HOUSING WEST TEAM 2",#REF!,3)+COUNTIFS(tbl_cleaning[Housing Team],"HOUSING WEST TEAM 2",#REF!,4)</f>
        <v>#REF!</v>
      </c>
      <c r="Q9" s="10"/>
      <c r="R9" s="16">
        <f t="shared" ref="R9:R12" si="2">IFERROR(P9/J9,0)</f>
        <v>0</v>
      </c>
      <c r="S9" s="10"/>
      <c r="T9" s="40">
        <f t="shared" ref="T9:T12" si="3">$Q$1</f>
        <v>0.9</v>
      </c>
      <c r="U9" s="8"/>
    </row>
    <row r="10" spans="1:31" ht="15.75" x14ac:dyDescent="0.25">
      <c r="A10" s="502"/>
      <c r="B10" s="504" t="s">
        <v>11</v>
      </c>
      <c r="C10" s="504"/>
      <c r="D10" s="504"/>
      <c r="E10" s="504"/>
      <c r="F10" s="504"/>
      <c r="G10" s="15"/>
      <c r="H10" s="46" t="e">
        <f>COUNTIFS(tbl_cleaning[Housing Team],"HOUSING WEST TEAM 2",#REF!,"&lt;&gt;NV")</f>
        <v>#REF!</v>
      </c>
      <c r="I10" s="10"/>
      <c r="J10" s="46" t="e" cm="1">
        <f t="array" ref="J10">SUM(COUNTIFS(tbl_cleaning[Housing Team],"HOUSING WEST TEAM 2",#REF!,{"1","2","3","4"}))</f>
        <v>#REF!</v>
      </c>
      <c r="K10" s="10"/>
      <c r="L10" s="16" t="e">
        <f>J10/H10</f>
        <v>#REF!</v>
      </c>
      <c r="M10" s="10"/>
      <c r="N10" s="16">
        <f>$F$1</f>
        <v>1</v>
      </c>
      <c r="O10" s="8"/>
      <c r="P10" s="46" t="e">
        <f>COUNTIFS(tbl_cleaning[Housing Team],"HOUSING WEST TEAM 2",#REF!,3)+COUNTIFS(tbl_cleaning[Housing Team],"HOUSING WEST TEAM 2",#REF!,4)</f>
        <v>#REF!</v>
      </c>
      <c r="Q10" s="10"/>
      <c r="R10" s="16">
        <f t="shared" si="2"/>
        <v>0</v>
      </c>
      <c r="S10" s="10"/>
      <c r="T10" s="40">
        <f t="shared" si="3"/>
        <v>0.9</v>
      </c>
      <c r="U10" s="8"/>
      <c r="AE10" t="s">
        <v>3</v>
      </c>
    </row>
    <row r="11" spans="1:31" ht="15.75" x14ac:dyDescent="0.25">
      <c r="A11" s="502"/>
      <c r="B11" s="504" t="s">
        <v>12</v>
      </c>
      <c r="C11" s="504"/>
      <c r="D11" s="504"/>
      <c r="E11" s="504"/>
      <c r="F11" s="504"/>
      <c r="G11" s="15"/>
      <c r="H11" s="46" t="e">
        <f>COUNTIFS(#REF!,"HOUSING WEST TEAM 2",#REF!,"&lt;&gt;NV")</f>
        <v>#REF!</v>
      </c>
      <c r="I11" s="10"/>
      <c r="J11" s="46" t="e">
        <f t="array" ref="J11">SUM(COUNTIFS(#REF!,"HOUSING WEST TEAM 2",#REF!,{"1","2","3","4"}))</f>
        <v>#REF!</v>
      </c>
      <c r="K11" s="10"/>
      <c r="L11" s="16" t="e">
        <f>J11/H11</f>
        <v>#REF!</v>
      </c>
      <c r="M11" s="10"/>
      <c r="N11" s="16">
        <f>$F$1</f>
        <v>1</v>
      </c>
      <c r="O11" s="8"/>
      <c r="P11" s="46" t="e">
        <f>COUNTIFS(#REF!,"HOUSING WEST TEAM 2",#REF!,3)+COUNTIFS(#REF!,"HOUSING WEST TEAM 2",#REF!,4)</f>
        <v>#REF!</v>
      </c>
      <c r="Q11" s="10"/>
      <c r="R11" s="16">
        <f t="shared" si="2"/>
        <v>0</v>
      </c>
      <c r="S11" s="10"/>
      <c r="T11" s="40">
        <f t="shared" si="3"/>
        <v>0.9</v>
      </c>
      <c r="U11" s="8"/>
    </row>
    <row r="12" spans="1:31" x14ac:dyDescent="0.25">
      <c r="A12" s="503"/>
      <c r="B12" s="504" t="s">
        <v>13</v>
      </c>
      <c r="C12" s="504"/>
      <c r="D12" s="504"/>
      <c r="E12" s="504"/>
      <c r="F12" s="504"/>
      <c r="G12" s="8"/>
      <c r="H12" s="46" t="e">
        <f>H9+H10+H11</f>
        <v>#REF!</v>
      </c>
      <c r="I12" s="10"/>
      <c r="J12" s="46" t="e">
        <f>SUM(J9:J11)</f>
        <v>#REF!</v>
      </c>
      <c r="K12" s="10"/>
      <c r="L12" s="16" t="e">
        <f>J12/H12</f>
        <v>#REF!</v>
      </c>
      <c r="M12" s="10"/>
      <c r="N12" s="16">
        <f>$F$1</f>
        <v>1</v>
      </c>
      <c r="O12" s="8"/>
      <c r="P12" s="46" t="e">
        <f>SUM(P9:P11)</f>
        <v>#REF!</v>
      </c>
      <c r="Q12" s="10"/>
      <c r="R12" s="16">
        <f t="shared" si="2"/>
        <v>0</v>
      </c>
      <c r="S12" s="10"/>
      <c r="T12" s="40">
        <f t="shared" si="3"/>
        <v>0.9</v>
      </c>
      <c r="U12" s="8"/>
    </row>
    <row r="13" spans="1:31" x14ac:dyDescent="0.25">
      <c r="H13"/>
      <c r="J13"/>
      <c r="P13"/>
    </row>
    <row r="14" spans="1:31" ht="15.75" x14ac:dyDescent="0.25">
      <c r="A14" s="505" t="s">
        <v>1371</v>
      </c>
      <c r="B14" s="504" t="s">
        <v>10</v>
      </c>
      <c r="C14" s="504"/>
      <c r="D14" s="504"/>
      <c r="E14" s="504"/>
      <c r="F14" s="504"/>
      <c r="G14" s="15"/>
      <c r="H14" s="46" t="e">
        <f>COUNTIFS(tbl_cleaning[Housing Team],"HOUSING SOUTH TEAM 3",#REF!,"&lt;&gt;NV")</f>
        <v>#REF!</v>
      </c>
      <c r="I14" s="10"/>
      <c r="J14" s="46" t="e" cm="1">
        <f t="array" ref="J14">SUM(COUNTIFS(tbl_cleaning[Housing Team],"HOUSING SOUTH TEAM 3",#REF!,{"1","2","3","4"}))</f>
        <v>#REF!</v>
      </c>
      <c r="K14" s="10"/>
      <c r="L14" s="16" t="e">
        <f>J14/H14</f>
        <v>#REF!</v>
      </c>
      <c r="M14" s="10"/>
      <c r="N14" s="16">
        <f>$F$1</f>
        <v>1</v>
      </c>
      <c r="O14" s="8"/>
      <c r="P14" s="46" t="e">
        <f>COUNTIFS(tbl_cleaning[Housing Team],"HOUSING SOUTH TEAM 3",#REF!,3)+COUNTIFS(tbl_cleaning[Housing Team],"HOUSING SOUTH TEAM 3",#REF!,4)</f>
        <v>#REF!</v>
      </c>
      <c r="Q14" s="10"/>
      <c r="R14" s="16">
        <f t="shared" ref="R14:R17" si="4">IFERROR(P14/J14,0)</f>
        <v>0</v>
      </c>
      <c r="S14" s="10"/>
      <c r="T14" s="40">
        <f t="shared" ref="T14:T17" si="5">$Q$1</f>
        <v>0.9</v>
      </c>
      <c r="U14" s="8"/>
    </row>
    <row r="15" spans="1:31" ht="15.75" x14ac:dyDescent="0.25">
      <c r="A15" s="505"/>
      <c r="B15" s="504" t="s">
        <v>11</v>
      </c>
      <c r="C15" s="504"/>
      <c r="D15" s="504"/>
      <c r="E15" s="504"/>
      <c r="F15" s="504"/>
      <c r="G15" s="15"/>
      <c r="H15" s="46" t="e">
        <f>COUNTIFS(tbl_cleaning[Housing Team],"HOUSING SOUTH TEAM 3",#REF!,"&lt;&gt;NV")</f>
        <v>#REF!</v>
      </c>
      <c r="I15" s="10"/>
      <c r="J15" s="46" t="e" cm="1">
        <f t="array" ref="J15">SUM(COUNTIFS(tbl_cleaning[Housing Team],"HOUSING SOUTH TEAM 3",#REF!,{"1","2","3","4"}))</f>
        <v>#REF!</v>
      </c>
      <c r="K15" s="10"/>
      <c r="L15" s="16" t="e">
        <f>J15/H15</f>
        <v>#REF!</v>
      </c>
      <c r="M15" s="10"/>
      <c r="N15" s="16">
        <f>$F$1</f>
        <v>1</v>
      </c>
      <c r="O15" s="8"/>
      <c r="P15" s="46" t="e">
        <f>COUNTIFS(tbl_cleaning[Housing Team],"HOUSING SOUTH TEAM 3",#REF!,3)+COUNTIFS(tbl_cleaning[Housing Team],"HOUSING SOUTH TEAM 3",#REF!,4)</f>
        <v>#REF!</v>
      </c>
      <c r="Q15" s="10"/>
      <c r="R15" s="16">
        <f t="shared" si="4"/>
        <v>0</v>
      </c>
      <c r="S15" s="10"/>
      <c r="T15" s="40">
        <f t="shared" si="5"/>
        <v>0.9</v>
      </c>
      <c r="U15" s="8"/>
    </row>
    <row r="16" spans="1:31" ht="15.75" x14ac:dyDescent="0.25">
      <c r="A16" s="505"/>
      <c r="B16" s="504" t="s">
        <v>12</v>
      </c>
      <c r="C16" s="504"/>
      <c r="D16" s="504"/>
      <c r="E16" s="504"/>
      <c r="F16" s="504"/>
      <c r="G16" s="15"/>
      <c r="H16" s="46" t="e">
        <f>COUNTIFS(#REF!,"HOUSING SOUTH TEAM 3",#REF!,"&lt;&gt;NV")</f>
        <v>#REF!</v>
      </c>
      <c r="I16" s="10"/>
      <c r="J16" s="46" t="e">
        <f t="array" ref="J16">SUM(COUNTIFS(#REF!,"HOUSING SOUTH TEAM 3",#REF!,{"1","2","3","4"}))</f>
        <v>#REF!</v>
      </c>
      <c r="K16" s="10"/>
      <c r="L16" s="16" t="e">
        <f>J16/H16</f>
        <v>#REF!</v>
      </c>
      <c r="M16" s="10"/>
      <c r="N16" s="16">
        <f>$F$1</f>
        <v>1</v>
      </c>
      <c r="O16" s="8"/>
      <c r="P16" s="46" t="e">
        <f>COUNTIFS(#REF!,"HOUSING SOUTH TEAM 3",#REF!,3)+COUNTIFS(#REF!,"HOUSING SOUTH TEAM 3",#REF!,4)</f>
        <v>#REF!</v>
      </c>
      <c r="Q16" s="10"/>
      <c r="R16" s="16">
        <f t="shared" si="4"/>
        <v>0</v>
      </c>
      <c r="S16" s="10"/>
      <c r="T16" s="40">
        <f t="shared" si="5"/>
        <v>0.9</v>
      </c>
      <c r="U16" s="8"/>
    </row>
    <row r="17" spans="1:21" x14ac:dyDescent="0.25">
      <c r="A17" s="506"/>
      <c r="B17" s="504" t="s">
        <v>13</v>
      </c>
      <c r="C17" s="504"/>
      <c r="D17" s="504"/>
      <c r="E17" s="504"/>
      <c r="F17" s="504"/>
      <c r="G17" s="8"/>
      <c r="H17" s="46" t="e">
        <f>H14+H15+H16</f>
        <v>#REF!</v>
      </c>
      <c r="I17" s="10"/>
      <c r="J17" s="46" t="e">
        <f>SUM(J14:J16)</f>
        <v>#REF!</v>
      </c>
      <c r="K17" s="10"/>
      <c r="L17" s="16" t="e">
        <f>J17/H17</f>
        <v>#REF!</v>
      </c>
      <c r="M17" s="10"/>
      <c r="N17" s="16">
        <f>$F$1</f>
        <v>1</v>
      </c>
      <c r="O17" s="8"/>
      <c r="P17" s="46" t="e">
        <f>SUM(P14:P16)</f>
        <v>#REF!</v>
      </c>
      <c r="Q17" s="10"/>
      <c r="R17" s="16">
        <f t="shared" si="4"/>
        <v>0</v>
      </c>
      <c r="S17" s="10"/>
      <c r="T17" s="40">
        <f t="shared" si="5"/>
        <v>0.9</v>
      </c>
      <c r="U17" s="8"/>
    </row>
    <row r="18" spans="1:21" x14ac:dyDescent="0.25">
      <c r="H18"/>
      <c r="J18"/>
      <c r="P18"/>
    </row>
    <row r="19" spans="1:21" ht="15.75" x14ac:dyDescent="0.25">
      <c r="A19" s="502" t="s">
        <v>1382</v>
      </c>
      <c r="B19" s="504" t="s">
        <v>10</v>
      </c>
      <c r="C19" s="504"/>
      <c r="D19" s="504"/>
      <c r="E19" s="504"/>
      <c r="F19" s="504"/>
      <c r="G19" s="15"/>
      <c r="H19" s="46" t="e">
        <f>COUNTIFS(tbl_cleaning[Housing Team],"HOUSING WEST TEAM 4",#REF!,"&lt;&gt;NV")</f>
        <v>#REF!</v>
      </c>
      <c r="I19" s="10"/>
      <c r="J19" s="46" t="e" cm="1">
        <f t="array" ref="J19">SUM(COUNTIFS(tbl_cleaning[Housing Team],"HOUSING WEST TEAM 4",#REF!,{"1","2","3","4"}))</f>
        <v>#REF!</v>
      </c>
      <c r="K19" s="10"/>
      <c r="L19" s="16" t="e">
        <f>J19/H19</f>
        <v>#REF!</v>
      </c>
      <c r="M19" s="10"/>
      <c r="N19" s="16">
        <f>$F$1</f>
        <v>1</v>
      </c>
      <c r="O19" s="8"/>
      <c r="P19" s="46" t="e">
        <f>COUNTIFS(tbl_cleaning[Housing Team],"HOUSING WEST TEAM 4",#REF!,3)+COUNTIFS(tbl_cleaning[Housing Team],"HOUSING WEST TEAM 4",#REF!,4)</f>
        <v>#REF!</v>
      </c>
      <c r="Q19" s="10"/>
      <c r="R19" s="16">
        <f t="shared" ref="R19:R22" si="6">IFERROR(P19/J19,0)</f>
        <v>0</v>
      </c>
      <c r="S19" s="10"/>
      <c r="T19" s="40">
        <f t="shared" ref="T19:T22" si="7">$Q$1</f>
        <v>0.9</v>
      </c>
      <c r="U19" s="8"/>
    </row>
    <row r="20" spans="1:21" ht="15.75" x14ac:dyDescent="0.25">
      <c r="A20" s="502"/>
      <c r="B20" s="504" t="s">
        <v>11</v>
      </c>
      <c r="C20" s="504"/>
      <c r="D20" s="504"/>
      <c r="E20" s="504"/>
      <c r="F20" s="504"/>
      <c r="G20" s="15"/>
      <c r="H20" s="46" t="e">
        <f>COUNTIFS(tbl_cleaning[Housing Team],"HOUSING WEST TEAM 4",#REF!,"&lt;&gt;NV")</f>
        <v>#REF!</v>
      </c>
      <c r="I20" s="10"/>
      <c r="J20" s="46" t="e" cm="1">
        <f t="array" ref="J20">SUM(COUNTIFS(tbl_cleaning[Housing Team],"HOUSING WEST TEAM 4",#REF!,{"1","2","3","4"}))</f>
        <v>#REF!</v>
      </c>
      <c r="K20" s="10"/>
      <c r="L20" s="16" t="e">
        <f>J20/H20</f>
        <v>#REF!</v>
      </c>
      <c r="M20" s="10"/>
      <c r="N20" s="16">
        <f>$F$1</f>
        <v>1</v>
      </c>
      <c r="O20" s="8"/>
      <c r="P20" s="46" t="e">
        <f>COUNTIFS(tbl_cleaning[Housing Team],"HOUSING WEST TEAM 4",#REF!,3)+COUNTIFS(tbl_cleaning[Housing Team],"HOUSING WEST TEAM 4",#REF!,4)</f>
        <v>#REF!</v>
      </c>
      <c r="Q20" s="10"/>
      <c r="R20" s="16">
        <f t="shared" si="6"/>
        <v>0</v>
      </c>
      <c r="S20" s="10"/>
      <c r="T20" s="40">
        <f t="shared" si="7"/>
        <v>0.9</v>
      </c>
      <c r="U20" s="8"/>
    </row>
    <row r="21" spans="1:21" ht="15.75" x14ac:dyDescent="0.25">
      <c r="A21" s="502"/>
      <c r="B21" s="504" t="s">
        <v>12</v>
      </c>
      <c r="C21" s="504"/>
      <c r="D21" s="504"/>
      <c r="E21" s="504"/>
      <c r="F21" s="504"/>
      <c r="G21" s="15"/>
      <c r="H21" s="46" t="e">
        <f>COUNTIFS(#REF!,"HOUSING WEST TEAM 4",#REF!,"&lt;&gt;NV")</f>
        <v>#REF!</v>
      </c>
      <c r="I21" s="10"/>
      <c r="J21" s="46" t="e">
        <f t="array" ref="J21">SUM(COUNTIFS(#REF!,"HOUSING WEST TEAM 4",#REF!,{"1","2","3","4"}))</f>
        <v>#REF!</v>
      </c>
      <c r="K21" s="10"/>
      <c r="L21" s="16" t="e">
        <f>J21/H21</f>
        <v>#REF!</v>
      </c>
      <c r="M21" s="10"/>
      <c r="N21" s="16">
        <f>$F$1</f>
        <v>1</v>
      </c>
      <c r="O21" s="8"/>
      <c r="P21" s="46" t="e">
        <f>COUNTIFS(#REF!,"HOUSING WEST TEAM 4",#REF!,3)+COUNTIFS(#REF!,"HOUSING WEST TEAM 4",#REF!,4)</f>
        <v>#REF!</v>
      </c>
      <c r="Q21" s="10"/>
      <c r="R21" s="16">
        <f t="shared" si="6"/>
        <v>0</v>
      </c>
      <c r="S21" s="10"/>
      <c r="T21" s="40">
        <f t="shared" si="7"/>
        <v>0.9</v>
      </c>
      <c r="U21" s="8"/>
    </row>
    <row r="22" spans="1:21" x14ac:dyDescent="0.25">
      <c r="A22" s="503"/>
      <c r="B22" s="504" t="s">
        <v>13</v>
      </c>
      <c r="C22" s="504"/>
      <c r="D22" s="504"/>
      <c r="E22" s="504"/>
      <c r="F22" s="504"/>
      <c r="G22" s="8"/>
      <c r="H22" s="46" t="e">
        <f>H19+H20+H21</f>
        <v>#REF!</v>
      </c>
      <c r="I22" s="10"/>
      <c r="J22" s="46" t="e">
        <f>SUM(J19:J21)</f>
        <v>#REF!</v>
      </c>
      <c r="K22" s="10"/>
      <c r="L22" s="16" t="e">
        <f>J22/H22</f>
        <v>#REF!</v>
      </c>
      <c r="M22" s="10"/>
      <c r="N22" s="16">
        <f>$F$1</f>
        <v>1</v>
      </c>
      <c r="O22" s="8"/>
      <c r="P22" s="46" t="e">
        <f>SUM(P19:P21)</f>
        <v>#REF!</v>
      </c>
      <c r="Q22" s="10"/>
      <c r="R22" s="16">
        <f t="shared" si="6"/>
        <v>0</v>
      </c>
      <c r="S22" s="10"/>
      <c r="T22" s="40">
        <f t="shared" si="7"/>
        <v>0.9</v>
      </c>
      <c r="U22" s="8"/>
    </row>
    <row r="23" spans="1:21" x14ac:dyDescent="0.25">
      <c r="H23"/>
      <c r="J23"/>
      <c r="P23"/>
    </row>
    <row r="24" spans="1:21" ht="15.75" x14ac:dyDescent="0.25">
      <c r="A24" s="502" t="s">
        <v>1388</v>
      </c>
      <c r="B24" s="504" t="s">
        <v>10</v>
      </c>
      <c r="C24" s="504"/>
      <c r="D24" s="504"/>
      <c r="E24" s="504"/>
      <c r="F24" s="504"/>
      <c r="G24" s="15"/>
      <c r="H24" s="46" t="e">
        <f>COUNTIFS(tbl_cleaning[Housing Team],"HOUSING WEST TEAM 5",#REF!,"&lt;&gt;NV")</f>
        <v>#REF!</v>
      </c>
      <c r="I24" s="10"/>
      <c r="J24" s="46" t="e" cm="1">
        <f t="array" ref="J24">SUM(COUNTIFS(tbl_cleaning[Housing Team],"HOUSING WEST TEAM 5",#REF!,{"1","2","3","4"}))</f>
        <v>#REF!</v>
      </c>
      <c r="K24" s="10"/>
      <c r="L24" s="16" t="e">
        <f>J24/H24</f>
        <v>#REF!</v>
      </c>
      <c r="M24" s="10"/>
      <c r="N24" s="16">
        <f>$F$1</f>
        <v>1</v>
      </c>
      <c r="O24" s="8"/>
      <c r="P24" s="46" t="e">
        <f>COUNTIFS(tbl_cleaning[Housing Team],"HOUSING WEST TEAM 5",#REF!,3)+COUNTIFS(tbl_cleaning[Housing Team],"HOUSING WEST TEAM 5",#REF!,4)</f>
        <v>#REF!</v>
      </c>
      <c r="Q24" s="10"/>
      <c r="R24" s="16">
        <f t="shared" ref="R24:R27" si="8">IFERROR(P24/J24,0)</f>
        <v>0</v>
      </c>
      <c r="S24" s="10"/>
      <c r="T24" s="40">
        <f t="shared" ref="T24:T27" si="9">$Q$1</f>
        <v>0.9</v>
      </c>
      <c r="U24" s="8"/>
    </row>
    <row r="25" spans="1:21" ht="15.75" x14ac:dyDescent="0.25">
      <c r="A25" s="502"/>
      <c r="B25" s="504" t="s">
        <v>11</v>
      </c>
      <c r="C25" s="504"/>
      <c r="D25" s="504"/>
      <c r="E25" s="504"/>
      <c r="F25" s="504"/>
      <c r="G25" s="15"/>
      <c r="H25" s="46" t="e">
        <f>COUNTIFS(tbl_cleaning[Housing Team],"HOUSING WEST TEAM 5",#REF!,"&lt;&gt;NV")</f>
        <v>#REF!</v>
      </c>
      <c r="I25" s="10"/>
      <c r="J25" s="46" t="e" cm="1">
        <f t="array" ref="J25">SUM(COUNTIFS(tbl_cleaning[Housing Team],"HOUSING WEST TEAM 5",#REF!,{"1","2","3","4"}))</f>
        <v>#REF!</v>
      </c>
      <c r="K25" s="10"/>
      <c r="L25" s="16" t="e">
        <f>J25/H25</f>
        <v>#REF!</v>
      </c>
      <c r="M25" s="10"/>
      <c r="N25" s="16">
        <f>$F$1</f>
        <v>1</v>
      </c>
      <c r="O25" s="8"/>
      <c r="P25" s="46" t="e">
        <f>COUNTIFS(tbl_cleaning[Housing Team],"HOUSING WEST TEAM 5",#REF!,3)+COUNTIFS(tbl_cleaning[Housing Team],"HOUSING WEST TEAM 5",#REF!,4)</f>
        <v>#REF!</v>
      </c>
      <c r="Q25" s="10"/>
      <c r="R25" s="16">
        <f t="shared" si="8"/>
        <v>0</v>
      </c>
      <c r="S25" s="10"/>
      <c r="T25" s="40">
        <f t="shared" si="9"/>
        <v>0.9</v>
      </c>
      <c r="U25" s="8"/>
    </row>
    <row r="26" spans="1:21" ht="15.75" x14ac:dyDescent="0.25">
      <c r="A26" s="502"/>
      <c r="B26" s="504" t="s">
        <v>12</v>
      </c>
      <c r="C26" s="504"/>
      <c r="D26" s="504"/>
      <c r="E26" s="504"/>
      <c r="F26" s="504"/>
      <c r="G26" s="15"/>
      <c r="H26" s="46" t="e">
        <f>COUNTIFS(#REF!,"HOUSING WEST TEAM 5",#REF!,"&lt;&gt;NV")</f>
        <v>#REF!</v>
      </c>
      <c r="I26" s="10"/>
      <c r="J26" s="46" t="e">
        <f t="array" ref="J26">SUM(COUNTIFS(#REF!,"HOUSING WEST TEAM 5",#REF!,{"1","2","3","4"}))</f>
        <v>#REF!</v>
      </c>
      <c r="K26" s="10"/>
      <c r="L26" s="16" t="e">
        <f>J26/H26</f>
        <v>#REF!</v>
      </c>
      <c r="M26" s="10"/>
      <c r="N26" s="16">
        <f>$F$1</f>
        <v>1</v>
      </c>
      <c r="O26" s="8"/>
      <c r="P26" s="46" t="e">
        <f>COUNTIFS(#REF!,"HOUSING WEST TEAM 5",#REF!,3)+COUNTIFS(#REF!,"HOUSING WEST TEAM 5",#REF!,4)</f>
        <v>#REF!</v>
      </c>
      <c r="Q26" s="10"/>
      <c r="R26" s="16">
        <f t="shared" si="8"/>
        <v>0</v>
      </c>
      <c r="S26" s="10"/>
      <c r="T26" s="40">
        <f t="shared" si="9"/>
        <v>0.9</v>
      </c>
      <c r="U26" s="8"/>
    </row>
    <row r="27" spans="1:21" x14ac:dyDescent="0.25">
      <c r="A27" s="503"/>
      <c r="B27" s="504" t="s">
        <v>13</v>
      </c>
      <c r="C27" s="504"/>
      <c r="D27" s="504"/>
      <c r="E27" s="504"/>
      <c r="F27" s="504"/>
      <c r="G27" s="8"/>
      <c r="H27" s="46" t="e">
        <f>H24+H25+H26</f>
        <v>#REF!</v>
      </c>
      <c r="I27" s="10"/>
      <c r="J27" s="46" t="e">
        <f>SUM(J24:J26)</f>
        <v>#REF!</v>
      </c>
      <c r="K27" s="10"/>
      <c r="L27" s="16" t="e">
        <f>J27/H27</f>
        <v>#REF!</v>
      </c>
      <c r="M27" s="10"/>
      <c r="N27" s="16">
        <f>$F$1</f>
        <v>1</v>
      </c>
      <c r="O27" s="8"/>
      <c r="P27" s="46" t="e">
        <f>SUM(P24:P26)</f>
        <v>#REF!</v>
      </c>
      <c r="Q27" s="10"/>
      <c r="R27" s="16">
        <f t="shared" si="8"/>
        <v>0</v>
      </c>
      <c r="S27" s="10"/>
      <c r="T27" s="40">
        <f t="shared" si="9"/>
        <v>0.9</v>
      </c>
      <c r="U27" s="8"/>
    </row>
    <row r="28" spans="1:21" x14ac:dyDescent="0.25">
      <c r="H28"/>
      <c r="J28"/>
      <c r="P28"/>
    </row>
    <row r="29" spans="1:21" ht="15.75" x14ac:dyDescent="0.25">
      <c r="A29" s="502" t="s">
        <v>1387</v>
      </c>
      <c r="B29" s="504" t="s">
        <v>10</v>
      </c>
      <c r="C29" s="504"/>
      <c r="D29" s="504"/>
      <c r="E29" s="504"/>
      <c r="F29" s="504"/>
      <c r="G29" s="15"/>
      <c r="H29" s="46" t="e">
        <f>COUNTIFS(tbl_cleaning[Housing Team],"HOUSING WEST TEAM 6",#REF!,"&lt;&gt;NV")</f>
        <v>#REF!</v>
      </c>
      <c r="I29" s="10"/>
      <c r="J29" s="46" t="e" cm="1">
        <f t="array" ref="J29">SUM(COUNTIFS(tbl_cleaning[Housing Team],"HOUSING WEST TEAM 6",#REF!,{"1","2","3","4"}))</f>
        <v>#REF!</v>
      </c>
      <c r="K29" s="10"/>
      <c r="L29" s="16" t="e">
        <f>J29/H29</f>
        <v>#REF!</v>
      </c>
      <c r="M29" s="10"/>
      <c r="N29" s="16">
        <f>$F$1</f>
        <v>1</v>
      </c>
      <c r="O29" s="8"/>
      <c r="P29" s="46" t="e">
        <f>COUNTIFS(tbl_cleaning[Housing Team],"HOUSING WEST TEAM 6",#REF!,3)+COUNTIFS(tbl_cleaning[Housing Team],"HOUSING WEST TEAM 6",#REF!,4)</f>
        <v>#REF!</v>
      </c>
      <c r="Q29" s="10"/>
      <c r="R29" s="16">
        <f t="shared" ref="R29:R32" si="10">IFERROR(P29/J29,0)</f>
        <v>0</v>
      </c>
      <c r="S29" s="10"/>
      <c r="T29" s="40">
        <f t="shared" ref="T29:T32" si="11">$Q$1</f>
        <v>0.9</v>
      </c>
      <c r="U29" s="8"/>
    </row>
    <row r="30" spans="1:21" ht="15.75" x14ac:dyDescent="0.25">
      <c r="A30" s="502"/>
      <c r="B30" s="504" t="s">
        <v>11</v>
      </c>
      <c r="C30" s="504"/>
      <c r="D30" s="504"/>
      <c r="E30" s="504"/>
      <c r="F30" s="504"/>
      <c r="G30" s="15"/>
      <c r="H30" s="46" t="e">
        <f>COUNTIFS(tbl_cleaning[Housing Team],"HOUSING WEST TEAM 6",#REF!,"&lt;&gt;NV")</f>
        <v>#REF!</v>
      </c>
      <c r="I30" s="10"/>
      <c r="J30" s="46" t="e" cm="1">
        <f t="array" ref="J30">SUM(COUNTIFS(tbl_cleaning[Housing Team],"HOUSING WEST TEAM 6",#REF!,{"1","2","3","4"}))</f>
        <v>#REF!</v>
      </c>
      <c r="K30" s="10"/>
      <c r="L30" s="16" t="e">
        <f>J30/H30</f>
        <v>#REF!</v>
      </c>
      <c r="M30" s="10"/>
      <c r="N30" s="16">
        <f>$F$1</f>
        <v>1</v>
      </c>
      <c r="O30" s="8"/>
      <c r="P30" s="46" t="e">
        <f>COUNTIFS(tbl_cleaning[Housing Team],"HOUSING WEST TEAM 6",#REF!,3)+COUNTIFS(tbl_cleaning[Housing Team],"HOUSING WEST TEAM 6",#REF!,4)</f>
        <v>#REF!</v>
      </c>
      <c r="Q30" s="10"/>
      <c r="R30" s="16">
        <f t="shared" si="10"/>
        <v>0</v>
      </c>
      <c r="S30" s="10"/>
      <c r="T30" s="40">
        <f t="shared" si="11"/>
        <v>0.9</v>
      </c>
      <c r="U30" s="8"/>
    </row>
    <row r="31" spans="1:21" ht="15.75" x14ac:dyDescent="0.25">
      <c r="A31" s="502"/>
      <c r="B31" s="504" t="s">
        <v>12</v>
      </c>
      <c r="C31" s="504"/>
      <c r="D31" s="504"/>
      <c r="E31" s="504"/>
      <c r="F31" s="504"/>
      <c r="G31" s="15"/>
      <c r="H31" s="46" t="e">
        <f>COUNTIFS(#REF!,"HOUSING WEST TEAM 6",#REF!,"&lt;&gt;NV")</f>
        <v>#REF!</v>
      </c>
      <c r="I31" s="10"/>
      <c r="J31" s="46" t="e">
        <f t="array" ref="J31">SUM(COUNTIFS(#REF!,"HOUSING WEST TEAM 6",#REF!,{"1","2","3","4"}))</f>
        <v>#REF!</v>
      </c>
      <c r="K31" s="10"/>
      <c r="L31" s="16" t="e">
        <f>J31/H31</f>
        <v>#REF!</v>
      </c>
      <c r="M31" s="10"/>
      <c r="N31" s="16">
        <f>$F$1</f>
        <v>1</v>
      </c>
      <c r="O31" s="8"/>
      <c r="P31" s="46" t="e">
        <f>COUNTIFS(#REF!,"HOUSING WEST TEAM 6",#REF!,3)+COUNTIFS(#REF!,"HOUSING WEST TEAM 6",#REF!,4)</f>
        <v>#REF!</v>
      </c>
      <c r="Q31" s="10"/>
      <c r="R31" s="16">
        <f t="shared" si="10"/>
        <v>0</v>
      </c>
      <c r="S31" s="10"/>
      <c r="T31" s="40">
        <f t="shared" si="11"/>
        <v>0.9</v>
      </c>
      <c r="U31" s="8"/>
    </row>
    <row r="32" spans="1:21" x14ac:dyDescent="0.25">
      <c r="A32" s="503"/>
      <c r="B32" s="504" t="s">
        <v>13</v>
      </c>
      <c r="C32" s="504"/>
      <c r="D32" s="504"/>
      <c r="E32" s="504"/>
      <c r="F32" s="504"/>
      <c r="G32" s="8"/>
      <c r="H32" s="46" t="e">
        <f>H29+H30+H31</f>
        <v>#REF!</v>
      </c>
      <c r="I32" s="10"/>
      <c r="J32" s="46" t="e">
        <f>SUM(J29:J31)</f>
        <v>#REF!</v>
      </c>
      <c r="K32" s="10"/>
      <c r="L32" s="16" t="e">
        <f>J32/H32</f>
        <v>#REF!</v>
      </c>
      <c r="M32" s="10"/>
      <c r="N32" s="16">
        <f>$F$1</f>
        <v>1</v>
      </c>
      <c r="O32" s="8"/>
      <c r="P32" s="46" t="e">
        <f>SUM(P29:P31)</f>
        <v>#REF!</v>
      </c>
      <c r="Q32" s="10"/>
      <c r="R32" s="16">
        <f t="shared" si="10"/>
        <v>0</v>
      </c>
      <c r="S32" s="10"/>
      <c r="T32" s="40">
        <f t="shared" si="11"/>
        <v>0.9</v>
      </c>
      <c r="U32" s="8"/>
    </row>
    <row r="33" spans="1:21" x14ac:dyDescent="0.25">
      <c r="H33"/>
      <c r="J33"/>
      <c r="P33"/>
    </row>
    <row r="34" spans="1:21" ht="15.75" x14ac:dyDescent="0.25">
      <c r="A34" s="502" t="s">
        <v>1367</v>
      </c>
      <c r="B34" s="504" t="s">
        <v>10</v>
      </c>
      <c r="C34" s="504"/>
      <c r="D34" s="504"/>
      <c r="E34" s="504"/>
      <c r="F34" s="504"/>
      <c r="G34" s="15"/>
      <c r="H34" s="46" t="e">
        <f>COUNTIFS(tbl_cleaning[Housing Team],"HOUSING WEST TEAM 7",#REF!,"&lt;&gt;NV")</f>
        <v>#REF!</v>
      </c>
      <c r="I34" s="10"/>
      <c r="J34" s="46" t="e" cm="1">
        <f t="array" ref="J34">SUM(COUNTIFS(tbl_cleaning[Housing Team],"HOUSING WEST TEAM 7",#REF!,{"1","2","3","4"}))</f>
        <v>#REF!</v>
      </c>
      <c r="K34" s="10"/>
      <c r="L34" s="16" t="e">
        <f>J34/H34</f>
        <v>#REF!</v>
      </c>
      <c r="M34" s="10"/>
      <c r="N34" s="16">
        <f>$F$1</f>
        <v>1</v>
      </c>
      <c r="O34" s="8"/>
      <c r="P34" s="46" t="e">
        <f>COUNTIFS(tbl_cleaning[Housing Team],"HOUSING WEST TEAM 7",#REF!,3)+COUNTIFS(tbl_cleaning[Housing Team],"HOUSING WEST TEAM 7",#REF!,4)</f>
        <v>#REF!</v>
      </c>
      <c r="Q34" s="10"/>
      <c r="R34" s="16">
        <f t="shared" ref="R34:R37" si="12">IFERROR(P34/J34,0)</f>
        <v>0</v>
      </c>
      <c r="S34" s="10"/>
      <c r="T34" s="40">
        <f t="shared" ref="T34:T37" si="13">$Q$1</f>
        <v>0.9</v>
      </c>
      <c r="U34" s="8"/>
    </row>
    <row r="35" spans="1:21" ht="15.75" x14ac:dyDescent="0.25">
      <c r="A35" s="502"/>
      <c r="B35" s="504" t="s">
        <v>11</v>
      </c>
      <c r="C35" s="504"/>
      <c r="D35" s="504"/>
      <c r="E35" s="504"/>
      <c r="F35" s="504"/>
      <c r="G35" s="15"/>
      <c r="H35" s="46" t="e">
        <f>COUNTIFS(tbl_cleaning[Housing Team],"HOUSING WEST TEAM 7",#REF!,"&lt;&gt;NV")</f>
        <v>#REF!</v>
      </c>
      <c r="I35" s="10"/>
      <c r="J35" s="46" t="e" cm="1">
        <f t="array" ref="J35">SUM(COUNTIFS(tbl_cleaning[Housing Team],"HOUSING WEST TEAM 7",#REF!,{"1","2","3","4"}))</f>
        <v>#REF!</v>
      </c>
      <c r="K35" s="10"/>
      <c r="L35" s="16" t="e">
        <f>J35/H35</f>
        <v>#REF!</v>
      </c>
      <c r="M35" s="10"/>
      <c r="N35" s="16">
        <f t="shared" ref="N35:N37" si="14">$F$1</f>
        <v>1</v>
      </c>
      <c r="O35" s="8"/>
      <c r="P35" s="46" t="e">
        <f>COUNTIFS(tbl_cleaning[Housing Team],"HOUSING WEST TEAM 7",#REF!,3)+COUNTIFS(tbl_cleaning[Housing Team],"HOUSING WEST TEAM 7",#REF!,4)</f>
        <v>#REF!</v>
      </c>
      <c r="Q35" s="10"/>
      <c r="R35" s="16">
        <f t="shared" si="12"/>
        <v>0</v>
      </c>
      <c r="S35" s="10"/>
      <c r="T35" s="40">
        <f t="shared" si="13"/>
        <v>0.9</v>
      </c>
      <c r="U35" s="8"/>
    </row>
    <row r="36" spans="1:21" ht="15.75" x14ac:dyDescent="0.25">
      <c r="A36" s="502"/>
      <c r="B36" s="504" t="s">
        <v>12</v>
      </c>
      <c r="C36" s="504"/>
      <c r="D36" s="504"/>
      <c r="E36" s="504"/>
      <c r="F36" s="504"/>
      <c r="G36" s="15"/>
      <c r="H36" s="46" t="e">
        <f>COUNTIFS(#REF!,"HOUSING WEST TEAM 7",#REF!,"&lt;&gt;NV")</f>
        <v>#REF!</v>
      </c>
      <c r="I36" s="10"/>
      <c r="J36" s="46" t="e">
        <f t="array" ref="J36">SUM(COUNTIFS(#REF!,"HOUSING WEST TEAM 7",#REF!,{"1","2","3","4"}))</f>
        <v>#REF!</v>
      </c>
      <c r="K36" s="10"/>
      <c r="L36" s="16" t="e">
        <f>J36/H36</f>
        <v>#REF!</v>
      </c>
      <c r="M36" s="10"/>
      <c r="N36" s="16">
        <f t="shared" si="14"/>
        <v>1</v>
      </c>
      <c r="O36" s="8"/>
      <c r="P36" s="46" t="e">
        <f>COUNTIFS(#REF!,"HOUSING WEST TEAM 7",#REF!,3)+COUNTIFS(#REF!,"HOUSING WEST TEAM 7",#REF!,4)</f>
        <v>#REF!</v>
      </c>
      <c r="Q36" s="10"/>
      <c r="R36" s="16">
        <f t="shared" si="12"/>
        <v>0</v>
      </c>
      <c r="S36" s="10"/>
      <c r="T36" s="40">
        <f t="shared" si="13"/>
        <v>0.9</v>
      </c>
      <c r="U36" s="8"/>
    </row>
    <row r="37" spans="1:21" x14ac:dyDescent="0.25">
      <c r="A37" s="503"/>
      <c r="B37" s="504" t="s">
        <v>13</v>
      </c>
      <c r="C37" s="504"/>
      <c r="D37" s="504"/>
      <c r="E37" s="504"/>
      <c r="F37" s="504"/>
      <c r="G37" s="8"/>
      <c r="H37" s="46" t="e">
        <f>H34+H35+H36</f>
        <v>#REF!</v>
      </c>
      <c r="I37" s="10"/>
      <c r="J37" s="46" t="e">
        <f>SUM(J34:J36)</f>
        <v>#REF!</v>
      </c>
      <c r="K37" s="10"/>
      <c r="L37" s="16" t="e">
        <f>J37/H37</f>
        <v>#REF!</v>
      </c>
      <c r="M37" s="10"/>
      <c r="N37" s="16">
        <f t="shared" si="14"/>
        <v>1</v>
      </c>
      <c r="O37" s="8"/>
      <c r="P37" s="46" t="e">
        <f>SUM(P34:P36)</f>
        <v>#REF!</v>
      </c>
      <c r="Q37" s="10"/>
      <c r="R37" s="16">
        <f t="shared" si="12"/>
        <v>0</v>
      </c>
      <c r="S37" s="10"/>
      <c r="T37" s="40">
        <f t="shared" si="13"/>
        <v>0.9</v>
      </c>
      <c r="U37" s="8"/>
    </row>
    <row r="38" spans="1:21" x14ac:dyDescent="0.25">
      <c r="H38"/>
      <c r="J38"/>
      <c r="P38"/>
    </row>
    <row r="39" spans="1:21" ht="15.75" x14ac:dyDescent="0.25">
      <c r="A39" s="502" t="s">
        <v>1370</v>
      </c>
      <c r="B39" s="507" t="s">
        <v>10</v>
      </c>
      <c r="C39" s="508"/>
      <c r="D39" s="508"/>
      <c r="E39" s="508"/>
      <c r="F39" s="509"/>
      <c r="G39" s="15"/>
      <c r="H39" s="46" t="e">
        <f>COUNTIFS(tbl_cleaning[Housing Team],"HOUSING WEST TEAM 8",#REF!,"&lt;&gt;NV")</f>
        <v>#REF!</v>
      </c>
      <c r="I39" s="10"/>
      <c r="J39" s="46" t="e" cm="1">
        <f t="array" ref="J39">SUM(COUNTIFS(tbl_cleaning[Housing Team],"HOUSING WEST TEAM 8",#REF!,{"1","2","3","4"}))</f>
        <v>#REF!</v>
      </c>
      <c r="K39" s="10"/>
      <c r="L39" s="16" t="e">
        <f>J39/H39</f>
        <v>#REF!</v>
      </c>
      <c r="M39" s="10"/>
      <c r="N39" s="16">
        <f t="shared" ref="N39:N42" si="15">$F$1</f>
        <v>1</v>
      </c>
      <c r="O39" s="8"/>
      <c r="P39" s="46" t="e">
        <f>COUNTIFS(tbl_cleaning[Housing Team],"HOUSING WEST TEAM 8",#REF!,3)+COUNTIFS(tbl_cleaning[Housing Team],"HOUSING WEST TEAM 8",#REF!,4)</f>
        <v>#REF!</v>
      </c>
      <c r="Q39" s="10"/>
      <c r="R39" s="16">
        <f t="shared" ref="R39:R42" si="16">IFERROR(P39/J39,0)</f>
        <v>0</v>
      </c>
      <c r="S39" s="10"/>
      <c r="T39" s="40">
        <f t="shared" ref="T39:T42" si="17">$Q$1</f>
        <v>0.9</v>
      </c>
      <c r="U39" s="8"/>
    </row>
    <row r="40" spans="1:21" ht="15.75" x14ac:dyDescent="0.25">
      <c r="A40" s="502"/>
      <c r="B40" s="507" t="s">
        <v>11</v>
      </c>
      <c r="C40" s="508"/>
      <c r="D40" s="508"/>
      <c r="E40" s="508"/>
      <c r="F40" s="509"/>
      <c r="G40" s="15"/>
      <c r="H40" s="46" t="e">
        <f>COUNTIFS(tbl_cleaning[Housing Team],"HOUSING WEST TEAM 8",#REF!,"&lt;&gt;NV")</f>
        <v>#REF!</v>
      </c>
      <c r="I40" s="10"/>
      <c r="J40" s="46" t="e" cm="1">
        <f t="array" ref="J40">SUM(COUNTIFS(tbl_cleaning[Housing Team],"HOUSING WEST TEAM 8",#REF!,{"1","2","3","4"}))</f>
        <v>#REF!</v>
      </c>
      <c r="K40" s="10"/>
      <c r="L40" s="16" t="e">
        <f>J40/H40</f>
        <v>#REF!</v>
      </c>
      <c r="M40" s="10"/>
      <c r="N40" s="16">
        <f t="shared" si="15"/>
        <v>1</v>
      </c>
      <c r="O40" s="8"/>
      <c r="P40" s="46" t="e">
        <f>COUNTIFS(tbl_cleaning[Housing Team],"HOUSING WEST TEAM 8",#REF!,3)+COUNTIFS(tbl_cleaning[Housing Team],"HOUSING WEST TEAM 8",#REF!,4)</f>
        <v>#REF!</v>
      </c>
      <c r="Q40" s="10"/>
      <c r="R40" s="16">
        <f t="shared" si="16"/>
        <v>0</v>
      </c>
      <c r="S40" s="10"/>
      <c r="T40" s="40">
        <f t="shared" si="17"/>
        <v>0.9</v>
      </c>
      <c r="U40" s="8"/>
    </row>
    <row r="41" spans="1:21" ht="15.75" x14ac:dyDescent="0.25">
      <c r="A41" s="502"/>
      <c r="B41" s="507" t="s">
        <v>12</v>
      </c>
      <c r="C41" s="508"/>
      <c r="D41" s="508"/>
      <c r="E41" s="508"/>
      <c r="F41" s="509"/>
      <c r="G41" s="15"/>
      <c r="H41" s="46" t="e">
        <f>(COUNTIFS(#REF!,"HOUSING WEST TEAM 8",#REF!,"&lt;&gt;NV"))</f>
        <v>#REF!</v>
      </c>
      <c r="I41" s="10"/>
      <c r="J41" s="46" t="e">
        <f t="array" ref="J41">SUM(COUNTIFS(#REF!,"HOUSING WEST TEAM 8",#REF!,{"1","2","3","4"}))</f>
        <v>#REF!</v>
      </c>
      <c r="K41" s="10"/>
      <c r="L41" s="16" t="e">
        <f>J41/H41</f>
        <v>#REF!</v>
      </c>
      <c r="M41" s="10"/>
      <c r="N41" s="16">
        <f t="shared" si="15"/>
        <v>1</v>
      </c>
      <c r="O41" s="8"/>
      <c r="P41" s="46" t="e">
        <f>COUNTIFS(#REF!,"HOUSING WEST TEAM 8",#REF!,3)+COUNTIFS(#REF!,"HOUSING WEST TEAM 8",#REF!,4)</f>
        <v>#REF!</v>
      </c>
      <c r="Q41" s="10"/>
      <c r="R41" s="16">
        <f t="shared" si="16"/>
        <v>0</v>
      </c>
      <c r="S41" s="10"/>
      <c r="T41" s="40">
        <f t="shared" si="17"/>
        <v>0.9</v>
      </c>
      <c r="U41" s="8"/>
    </row>
    <row r="42" spans="1:21" x14ac:dyDescent="0.25">
      <c r="A42" s="502"/>
      <c r="B42" s="507" t="s">
        <v>13</v>
      </c>
      <c r="C42" s="508"/>
      <c r="D42" s="508"/>
      <c r="E42" s="508"/>
      <c r="F42" s="509"/>
      <c r="G42" s="8"/>
      <c r="H42" s="46" t="e">
        <f>H39+H40+H41</f>
        <v>#REF!</v>
      </c>
      <c r="I42" s="10"/>
      <c r="J42" s="46" t="e">
        <f>SUM(J39:J41)</f>
        <v>#REF!</v>
      </c>
      <c r="K42" s="10"/>
      <c r="L42" s="16" t="e">
        <f>J42/H42</f>
        <v>#REF!</v>
      </c>
      <c r="M42" s="10"/>
      <c r="N42" s="16">
        <f t="shared" si="15"/>
        <v>1</v>
      </c>
      <c r="O42" s="8"/>
      <c r="P42" s="46" t="e">
        <f>SUM(P39:P41)</f>
        <v>#REF!</v>
      </c>
      <c r="Q42" s="10"/>
      <c r="R42" s="16">
        <f t="shared" si="16"/>
        <v>0</v>
      </c>
      <c r="S42" s="10"/>
      <c r="T42" s="40">
        <f t="shared" si="17"/>
        <v>0.9</v>
      </c>
      <c r="U42" s="8"/>
    </row>
    <row r="43" spans="1:21" x14ac:dyDescent="0.25">
      <c r="H43"/>
      <c r="J43"/>
      <c r="P43"/>
    </row>
    <row r="44" spans="1:21" ht="15.75" x14ac:dyDescent="0.25">
      <c r="A44" s="505" t="s">
        <v>1363</v>
      </c>
      <c r="B44" s="504" t="s">
        <v>10</v>
      </c>
      <c r="C44" s="504"/>
      <c r="D44" s="504"/>
      <c r="E44" s="504"/>
      <c r="F44" s="504"/>
      <c r="G44" s="15"/>
      <c r="H44" s="46" t="e">
        <f>COUNTIFS(tbl_cleaning[Housing Team],"HOUSING SOUTH TEAM 5",#REF!,"&lt;&gt;NV")</f>
        <v>#REF!</v>
      </c>
      <c r="I44" s="10"/>
      <c r="J44" s="46" t="e" cm="1">
        <f t="array" ref="J44">SUM(COUNTIFS(tbl_cleaning[Housing Team],"HOUSING SOUTH TEAM 5",#REF!,{"1","2","3","4"}))</f>
        <v>#REF!</v>
      </c>
      <c r="K44" s="10"/>
      <c r="L44" s="16" t="e">
        <f>J44/H44</f>
        <v>#REF!</v>
      </c>
      <c r="M44" s="10"/>
      <c r="N44" s="16">
        <f>$F$1</f>
        <v>1</v>
      </c>
      <c r="O44" s="8"/>
      <c r="P44" s="46" t="e">
        <f>COUNTIFS(tbl_cleaning[Housing Team],"HOUSING SOUTH TEAM 5",#REF!,3)+COUNTIFS(tbl_cleaning[Housing Team],"HOUSING SOUTH TEAM 5",#REF!,4)</f>
        <v>#REF!</v>
      </c>
      <c r="Q44" s="10"/>
      <c r="R44" s="16">
        <f t="shared" ref="R44:R47" si="18">IFERROR(P44/J44,0)</f>
        <v>0</v>
      </c>
      <c r="S44" s="10"/>
      <c r="T44" s="40">
        <f t="shared" ref="T44:T47" si="19">$Q$1</f>
        <v>0.9</v>
      </c>
      <c r="U44" s="8"/>
    </row>
    <row r="45" spans="1:21" ht="15.75" x14ac:dyDescent="0.25">
      <c r="A45" s="505"/>
      <c r="B45" s="504" t="s">
        <v>11</v>
      </c>
      <c r="C45" s="504"/>
      <c r="D45" s="504"/>
      <c r="E45" s="504"/>
      <c r="F45" s="504"/>
      <c r="G45" s="15"/>
      <c r="H45" s="46" t="e">
        <f>COUNTIFS(tbl_cleaning[Housing Team],"HOUSING SOUTH TEAM 5",#REF!,"&lt;&gt;NV")</f>
        <v>#REF!</v>
      </c>
      <c r="I45" s="10"/>
      <c r="J45" s="46" t="e" cm="1">
        <f t="array" ref="J45">SUM(COUNTIFS(tbl_cleaning[Housing Team],"HOUSING SOUTH TEAM 5",#REF!,{"1","2","3","4"}))</f>
        <v>#REF!</v>
      </c>
      <c r="K45" s="10"/>
      <c r="L45" s="16" t="e">
        <f>J45/H45</f>
        <v>#REF!</v>
      </c>
      <c r="M45" s="10"/>
      <c r="N45" s="16">
        <f>$F$1</f>
        <v>1</v>
      </c>
      <c r="O45" s="8"/>
      <c r="P45" s="46" t="e">
        <f>COUNTIFS(tbl_cleaning[Housing Team],"HOUSING SOUTH TEAM 5",#REF!,3)+COUNTIFS(tbl_cleaning[Housing Team],"HOUSING SOUTH TEAM 5",#REF!,4)</f>
        <v>#REF!</v>
      </c>
      <c r="Q45" s="10"/>
      <c r="R45" s="16">
        <f t="shared" si="18"/>
        <v>0</v>
      </c>
      <c r="S45" s="10"/>
      <c r="T45" s="40">
        <f t="shared" si="19"/>
        <v>0.9</v>
      </c>
      <c r="U45" s="8"/>
    </row>
    <row r="46" spans="1:21" ht="15.75" x14ac:dyDescent="0.25">
      <c r="A46" s="505"/>
      <c r="B46" s="504" t="s">
        <v>12</v>
      </c>
      <c r="C46" s="504"/>
      <c r="D46" s="504"/>
      <c r="E46" s="504"/>
      <c r="F46" s="504"/>
      <c r="G46" s="15"/>
      <c r="H46" s="46" t="e">
        <f>COUNTIFS(#REF!,"HOUSING SOUTH TEAM 5",#REF!,"&lt;&gt;NV")</f>
        <v>#REF!</v>
      </c>
      <c r="I46" s="10"/>
      <c r="J46" s="46" t="e">
        <f t="array" ref="J46">SUM(COUNTIFS(#REF!,"HOUSING SOUTH TEAM 5",#REF!,{"1","2","3","4"}))</f>
        <v>#REF!</v>
      </c>
      <c r="K46" s="10"/>
      <c r="L46" s="16" t="e">
        <f>J46/H46</f>
        <v>#REF!</v>
      </c>
      <c r="M46" s="10"/>
      <c r="N46" s="16">
        <f>$F$1</f>
        <v>1</v>
      </c>
      <c r="O46" s="8"/>
      <c r="P46" s="46" t="e">
        <f>COUNTIFS(#REF!,"HOUSING SOUTH TEAM 5",#REF!,3)+COUNTIFS(#REF!,"HOUSING SOUTH TEAM 5",#REF!,4)</f>
        <v>#REF!</v>
      </c>
      <c r="Q46" s="10"/>
      <c r="R46" s="16">
        <f t="shared" si="18"/>
        <v>0</v>
      </c>
      <c r="S46" s="10"/>
      <c r="T46" s="40">
        <f t="shared" si="19"/>
        <v>0.9</v>
      </c>
      <c r="U46" s="8"/>
    </row>
    <row r="47" spans="1:21" x14ac:dyDescent="0.25">
      <c r="A47" s="506"/>
      <c r="B47" s="504" t="s">
        <v>13</v>
      </c>
      <c r="C47" s="504"/>
      <c r="D47" s="504"/>
      <c r="E47" s="504"/>
      <c r="F47" s="504"/>
      <c r="G47" s="8"/>
      <c r="H47" s="46" t="e">
        <f>H44+H45+H46</f>
        <v>#REF!</v>
      </c>
      <c r="I47" s="10"/>
      <c r="J47" s="46" t="e">
        <f>SUM(J44:J46)</f>
        <v>#REF!</v>
      </c>
      <c r="K47" s="10"/>
      <c r="L47" s="16" t="e">
        <f>J47/H47</f>
        <v>#REF!</v>
      </c>
      <c r="M47" s="10"/>
      <c r="N47" s="16">
        <f>$F$1</f>
        <v>1</v>
      </c>
      <c r="O47" s="8"/>
      <c r="P47" s="46" t="e">
        <f>SUM(P44:P46)</f>
        <v>#REF!</v>
      </c>
      <c r="Q47" s="10"/>
      <c r="R47" s="16">
        <f t="shared" si="18"/>
        <v>0</v>
      </c>
      <c r="S47" s="10"/>
      <c r="T47" s="40">
        <f t="shared" si="19"/>
        <v>0.9</v>
      </c>
      <c r="U47" s="8"/>
    </row>
    <row r="48" spans="1:21" x14ac:dyDescent="0.25">
      <c r="H48"/>
      <c r="J48"/>
      <c r="P48"/>
    </row>
    <row r="49" spans="1:21" ht="15.75" customHeight="1" x14ac:dyDescent="0.25">
      <c r="A49" s="502" t="s">
        <v>1377</v>
      </c>
      <c r="B49" s="504" t="s">
        <v>10</v>
      </c>
      <c r="C49" s="504"/>
      <c r="D49" s="504"/>
      <c r="E49" s="504"/>
      <c r="F49" s="504"/>
      <c r="G49" s="15"/>
      <c r="H49" s="46" t="e">
        <f>COUNTIFS(tbl_cleaning[Housing Team],"HOUSING WEST TEAM 3",#REF!,"&lt;&gt;NV")</f>
        <v>#REF!</v>
      </c>
      <c r="I49" s="10"/>
      <c r="J49" s="46" t="e" cm="1">
        <f t="array" ref="J49">SUM(COUNTIFS(tbl_cleaning[Housing Team],"HOUSING WEST TEAM 3",#REF!,{"1","2","3","4"}))</f>
        <v>#REF!</v>
      </c>
      <c r="K49" s="10"/>
      <c r="L49" s="16" t="e">
        <f>J49/H49</f>
        <v>#REF!</v>
      </c>
      <c r="M49" s="10"/>
      <c r="N49" s="16">
        <f>$F$1</f>
        <v>1</v>
      </c>
      <c r="O49" s="8"/>
      <c r="P49" s="46" t="e">
        <f>COUNTIFS(tbl_cleaning[Housing Team],"HOUSING WEST TEAM 3",#REF!,3)+COUNTIFS(tbl_cleaning[Housing Team],"HOUSING WEST TEAM 3",#REF!,4)</f>
        <v>#REF!</v>
      </c>
      <c r="Q49" s="10"/>
      <c r="R49" s="16">
        <f t="shared" ref="R49:R52" si="20">IFERROR(P49/J49,0)</f>
        <v>0</v>
      </c>
      <c r="S49" s="10"/>
      <c r="T49" s="40">
        <f t="shared" ref="T49:T52" si="21">$Q$1</f>
        <v>0.9</v>
      </c>
      <c r="U49" s="8"/>
    </row>
    <row r="50" spans="1:21" ht="15.75" x14ac:dyDescent="0.25">
      <c r="A50" s="502"/>
      <c r="B50" s="504" t="s">
        <v>11</v>
      </c>
      <c r="C50" s="504"/>
      <c r="D50" s="504"/>
      <c r="E50" s="504"/>
      <c r="F50" s="504"/>
      <c r="G50" s="15"/>
      <c r="H50" s="46" t="e">
        <f>COUNTIFS(tbl_cleaning[Housing Team],"HOUSING WEST TEAM 3",#REF!,"&lt;&gt;NV")</f>
        <v>#REF!</v>
      </c>
      <c r="I50" s="10"/>
      <c r="J50" s="46" t="e" cm="1">
        <f t="array" ref="J50">SUM(COUNTIFS(tbl_cleaning[Housing Team],"HOUSING WEST TEAM 3",#REF!,{"1","2","3","4"}))</f>
        <v>#REF!</v>
      </c>
      <c r="K50" s="10"/>
      <c r="L50" s="16" t="e">
        <f>J50/H50</f>
        <v>#REF!</v>
      </c>
      <c r="M50" s="10"/>
      <c r="N50" s="16">
        <f>$F$1</f>
        <v>1</v>
      </c>
      <c r="O50" s="8"/>
      <c r="P50" s="46" t="e">
        <f>COUNTIFS(tbl_cleaning[Housing Team],"HOUSING WEST TEAM 3",#REF!,3)+COUNTIFS(tbl_cleaning[Housing Team],"HOUSING WEST TEAM 3",#REF!,4)</f>
        <v>#REF!</v>
      </c>
      <c r="Q50" s="10"/>
      <c r="R50" s="16">
        <f t="shared" si="20"/>
        <v>0</v>
      </c>
      <c r="S50" s="10"/>
      <c r="T50" s="40">
        <f t="shared" si="21"/>
        <v>0.9</v>
      </c>
      <c r="U50" s="8"/>
    </row>
    <row r="51" spans="1:21" ht="15.75" x14ac:dyDescent="0.25">
      <c r="A51" s="502"/>
      <c r="B51" s="504" t="s">
        <v>12</v>
      </c>
      <c r="C51" s="504"/>
      <c r="D51" s="504"/>
      <c r="E51" s="504"/>
      <c r="F51" s="504"/>
      <c r="G51" s="15"/>
      <c r="H51" s="46" t="e">
        <f>COUNTIFS(#REF!,"HOUSING WEST TEAM 3",#REF!,"&lt;&gt;NV")</f>
        <v>#REF!</v>
      </c>
      <c r="I51" s="10"/>
      <c r="J51" s="46" t="e">
        <f t="array" ref="J51">SUM(COUNTIFS(#REF!,"HOUSING WEST TEAM 3",#REF!,{"1","2","3","4"}))</f>
        <v>#REF!</v>
      </c>
      <c r="K51" s="10"/>
      <c r="L51" s="16" t="e">
        <f>J51/H51</f>
        <v>#REF!</v>
      </c>
      <c r="M51" s="10"/>
      <c r="N51" s="16">
        <f>$F$1</f>
        <v>1</v>
      </c>
      <c r="O51" s="8"/>
      <c r="P51" s="46" t="e">
        <f>COUNTIFS(#REF!,"HOUSING WEST TEAM 3",#REF!,3)+COUNTIFS(#REF!,"HOUSING WEST TEAM 3",#REF!,4)</f>
        <v>#REF!</v>
      </c>
      <c r="Q51" s="10"/>
      <c r="R51" s="16">
        <f t="shared" si="20"/>
        <v>0</v>
      </c>
      <c r="S51" s="10"/>
      <c r="T51" s="40">
        <f t="shared" si="21"/>
        <v>0.9</v>
      </c>
      <c r="U51" s="8"/>
    </row>
    <row r="52" spans="1:21" x14ac:dyDescent="0.25">
      <c r="A52" s="503"/>
      <c r="B52" s="504" t="s">
        <v>13</v>
      </c>
      <c r="C52" s="504"/>
      <c r="D52" s="504"/>
      <c r="E52" s="504"/>
      <c r="F52" s="504"/>
      <c r="G52" s="8"/>
      <c r="H52" s="46" t="e">
        <f>H49+H50+H51</f>
        <v>#REF!</v>
      </c>
      <c r="I52" s="10"/>
      <c r="J52" s="46" t="e">
        <f>SUM(J49:J51)</f>
        <v>#REF!</v>
      </c>
      <c r="K52" s="10"/>
      <c r="L52" s="16" t="e">
        <f>J52/H52</f>
        <v>#REF!</v>
      </c>
      <c r="M52" s="10"/>
      <c r="N52" s="16">
        <f>$F$1</f>
        <v>1</v>
      </c>
      <c r="O52" s="8"/>
      <c r="P52" s="46" t="e">
        <f>SUM(P49:P51)</f>
        <v>#REF!</v>
      </c>
      <c r="Q52" s="10"/>
      <c r="R52" s="16">
        <f t="shared" si="20"/>
        <v>0</v>
      </c>
      <c r="S52" s="10"/>
      <c r="T52" s="40">
        <f t="shared" si="21"/>
        <v>0.9</v>
      </c>
      <c r="U52" s="8"/>
    </row>
    <row r="53" spans="1:21" ht="15.75" customHeight="1" x14ac:dyDescent="0.25">
      <c r="H53"/>
      <c r="J53"/>
      <c r="P53"/>
    </row>
    <row r="54" spans="1:21" ht="15.75" customHeight="1" x14ac:dyDescent="0.25">
      <c r="A54" s="505" t="s">
        <v>1379</v>
      </c>
      <c r="B54" s="504" t="s">
        <v>10</v>
      </c>
      <c r="C54" s="504"/>
      <c r="D54" s="504"/>
      <c r="E54" s="504"/>
      <c r="F54" s="504"/>
      <c r="G54" s="15"/>
      <c r="H54" s="46" t="e">
        <f>COUNTIFS(tbl_cleaning[Housing Team],"HOUSING SOUTH TEAM 4",#REF!,"&lt;&gt;NV")</f>
        <v>#REF!</v>
      </c>
      <c r="I54" s="10"/>
      <c r="J54" s="46" t="e" cm="1">
        <f t="array" ref="J54">SUM(COUNTIFS(tbl_cleaning[Housing Team],"HOUSING SOUTH TEAM 4",#REF!,{"1","2","3","4"}))</f>
        <v>#REF!</v>
      </c>
      <c r="K54" s="10"/>
      <c r="L54" s="16" t="e">
        <f>J54/H54</f>
        <v>#REF!</v>
      </c>
      <c r="M54" s="10"/>
      <c r="N54" s="16">
        <f>$F$1</f>
        <v>1</v>
      </c>
      <c r="O54" s="8"/>
      <c r="P54" s="46" t="e">
        <f>COUNTIFS(tbl_cleaning[Housing Team],"HOUSING SOUTH TEAM 4",#REF!,3)+COUNTIFS(tbl_cleaning[Housing Team],"HOUSING SOUTH TEAM 4",#REF!,4)</f>
        <v>#REF!</v>
      </c>
      <c r="Q54" s="10"/>
      <c r="R54" s="16">
        <f t="shared" ref="R54:R57" si="22">IFERROR(P54/J54,0)</f>
        <v>0</v>
      </c>
      <c r="S54" s="10"/>
      <c r="T54" s="40">
        <f t="shared" ref="T54:T57" si="23">$Q$1</f>
        <v>0.9</v>
      </c>
      <c r="U54" s="8"/>
    </row>
    <row r="55" spans="1:21" ht="15.75" customHeight="1" x14ac:dyDescent="0.25">
      <c r="A55" s="505"/>
      <c r="B55" s="504" t="s">
        <v>11</v>
      </c>
      <c r="C55" s="504"/>
      <c r="D55" s="504"/>
      <c r="E55" s="504"/>
      <c r="F55" s="504"/>
      <c r="G55" s="15"/>
      <c r="H55" s="46" t="e">
        <f>COUNTIFS(tbl_cleaning[Housing Team],"HOUSING SOUTH TEAM 4",#REF!,"&lt;&gt;NV")</f>
        <v>#REF!</v>
      </c>
      <c r="I55" s="10"/>
      <c r="J55" s="46" t="e" cm="1">
        <f t="array" ref="J55">SUM(COUNTIFS(tbl_cleaning[Housing Team],"HOUSING SOUTH TEAM 4",#REF!,{"1","2","3","4"}))</f>
        <v>#REF!</v>
      </c>
      <c r="K55" s="10"/>
      <c r="L55" s="16" t="e">
        <f>J55/H55</f>
        <v>#REF!</v>
      </c>
      <c r="M55" s="10"/>
      <c r="N55" s="16">
        <f>$F$1</f>
        <v>1</v>
      </c>
      <c r="O55" s="8"/>
      <c r="P55" s="46" t="e">
        <f>COUNTIFS(tbl_cleaning[Housing Team],"HOUSING SOUTH TEAM 4",#REF!,3)+COUNTIFS(tbl_cleaning[Housing Team],"HOUSING SOUTH TEAM 4",#REF!,4)</f>
        <v>#REF!</v>
      </c>
      <c r="Q55" s="10"/>
      <c r="R55" s="16">
        <f t="shared" si="22"/>
        <v>0</v>
      </c>
      <c r="S55" s="10"/>
      <c r="T55" s="40">
        <f t="shared" si="23"/>
        <v>0.9</v>
      </c>
      <c r="U55" s="8"/>
    </row>
    <row r="56" spans="1:21" ht="15.75" customHeight="1" x14ac:dyDescent="0.25">
      <c r="A56" s="505"/>
      <c r="B56" s="504" t="s">
        <v>12</v>
      </c>
      <c r="C56" s="504"/>
      <c r="D56" s="504"/>
      <c r="E56" s="504"/>
      <c r="F56" s="504"/>
      <c r="G56" s="15"/>
      <c r="H56" s="46" t="e">
        <f>COUNTIFS(#REF!,"HOUSING SOUTH TEAM 4",#REF!,"&lt;&gt;NV")</f>
        <v>#REF!</v>
      </c>
      <c r="I56" s="10"/>
      <c r="J56" s="46" t="e">
        <f t="array" ref="J56">SUM(COUNTIFS(#REF!,"HOUSING SOUTH TEAM 4",#REF!,{"1","2","3","4"}))</f>
        <v>#REF!</v>
      </c>
      <c r="K56" s="10"/>
      <c r="L56" s="16" t="e">
        <f>J56/H56</f>
        <v>#REF!</v>
      </c>
      <c r="M56" s="10"/>
      <c r="N56" s="16">
        <f>$F$1</f>
        <v>1</v>
      </c>
      <c r="O56" s="8"/>
      <c r="P56" s="46" t="e">
        <f>COUNTIFS(#REF!,"HOUSING SOUTH TEAM 4",#REF!,3)+COUNTIFS(#REF!,"HOUSING SOUTH TEAM 4",#REF!,4)</f>
        <v>#REF!</v>
      </c>
      <c r="Q56" s="10"/>
      <c r="R56" s="16">
        <f t="shared" si="22"/>
        <v>0</v>
      </c>
      <c r="S56" s="10"/>
      <c r="T56" s="40">
        <f t="shared" si="23"/>
        <v>0.9</v>
      </c>
      <c r="U56" s="8"/>
    </row>
    <row r="57" spans="1:21" ht="15.75" customHeight="1" x14ac:dyDescent="0.25">
      <c r="A57" s="506"/>
      <c r="B57" s="504" t="s">
        <v>13</v>
      </c>
      <c r="C57" s="504"/>
      <c r="D57" s="504"/>
      <c r="E57" s="504"/>
      <c r="F57" s="504"/>
      <c r="G57" s="8"/>
      <c r="H57" s="46" t="e">
        <f>H54+H55+H56</f>
        <v>#REF!</v>
      </c>
      <c r="I57" s="10"/>
      <c r="J57" s="46" t="e">
        <f>SUM(J54:J56)</f>
        <v>#REF!</v>
      </c>
      <c r="K57" s="10"/>
      <c r="L57" s="16" t="e">
        <f>J57/H57</f>
        <v>#REF!</v>
      </c>
      <c r="M57" s="10"/>
      <c r="N57" s="16">
        <f>$F$1</f>
        <v>1</v>
      </c>
      <c r="O57" s="8"/>
      <c r="P57" s="46" t="e">
        <f>SUM(P54:P56)</f>
        <v>#REF!</v>
      </c>
      <c r="Q57" s="10"/>
      <c r="R57" s="16">
        <f t="shared" si="22"/>
        <v>0</v>
      </c>
      <c r="S57" s="10"/>
      <c r="T57" s="40">
        <f t="shared" si="23"/>
        <v>0.9</v>
      </c>
      <c r="U57" s="8"/>
    </row>
    <row r="58" spans="1:21" ht="15.75" customHeight="1" x14ac:dyDescent="0.25">
      <c r="H58"/>
      <c r="J58"/>
      <c r="P58"/>
    </row>
    <row r="59" spans="1:21" ht="15.75" customHeight="1" x14ac:dyDescent="0.25">
      <c r="A59" s="505" t="s">
        <v>1384</v>
      </c>
      <c r="B59" s="504" t="s">
        <v>10</v>
      </c>
      <c r="C59" s="504"/>
      <c r="D59" s="504"/>
      <c r="E59" s="504"/>
      <c r="F59" s="504"/>
      <c r="H59" s="46" t="e">
        <f>COUNTIFS(tbl_cleaning[Housing Team],"HOUSING SOUTH TEAM 6",#REF!,"&lt;&gt;NV")</f>
        <v>#REF!</v>
      </c>
      <c r="I59" s="10"/>
      <c r="J59" s="46" t="e" cm="1">
        <f t="array" ref="J59">SUM(COUNTIFS(tbl_cleaning[Housing Team],"HOUSING SOUTH TEAM 6",#REF!,{"1","2","3","4"}))</f>
        <v>#REF!</v>
      </c>
      <c r="K59" s="10"/>
      <c r="L59" s="16" t="e">
        <f>J59/H59</f>
        <v>#REF!</v>
      </c>
      <c r="M59" s="10"/>
      <c r="N59" s="16">
        <f>$F$1</f>
        <v>1</v>
      </c>
      <c r="O59" s="8"/>
      <c r="P59" s="46" t="e">
        <f>COUNTIFS(tbl_cleaning[Housing Team],"HOUSING SOUTH TEAM 6",#REF!,3)+COUNTIFS(tbl_cleaning[Housing Team],"HOUSING SOUTH TEAM 6",#REF!,4)</f>
        <v>#REF!</v>
      </c>
      <c r="Q59" s="10"/>
      <c r="R59" s="16">
        <f t="shared" ref="R59:R62" si="24">IFERROR(P59/J59,0)</f>
        <v>0</v>
      </c>
      <c r="S59" s="10"/>
      <c r="T59" s="40">
        <f t="shared" ref="T59:T62" si="25">$Q$1</f>
        <v>0.9</v>
      </c>
    </row>
    <row r="60" spans="1:21" ht="15.75" customHeight="1" x14ac:dyDescent="0.25">
      <c r="A60" s="505"/>
      <c r="B60" s="504" t="s">
        <v>11</v>
      </c>
      <c r="C60" s="504"/>
      <c r="D60" s="504"/>
      <c r="E60" s="504"/>
      <c r="F60" s="504"/>
      <c r="H60" s="46" t="e">
        <f>COUNTIFS(tbl_cleaning[Housing Team],"HOUSING SOUTH TEAM 6",#REF!,"&lt;&gt;NV")</f>
        <v>#REF!</v>
      </c>
      <c r="I60" s="10"/>
      <c r="J60" s="46" t="e" cm="1">
        <f t="array" ref="J60">SUM(COUNTIFS(tbl_cleaning[Housing Team],"HOUSING SOUTH TEAM 6",#REF!,{"1","2","3","4"}))</f>
        <v>#REF!</v>
      </c>
      <c r="K60" s="10"/>
      <c r="L60" s="16" t="e">
        <f>J60/H60</f>
        <v>#REF!</v>
      </c>
      <c r="M60" s="10"/>
      <c r="N60" s="16">
        <f>$F$1</f>
        <v>1</v>
      </c>
      <c r="O60" s="8"/>
      <c r="P60" s="46" t="e">
        <f>COUNTIFS(tbl_cleaning[Housing Team],"HOUSING SOUTH TEAM 6",#REF!,3)+COUNTIFS(tbl_cleaning[Housing Team],"HOUSING SOUTH TEAM 6",#REF!,4)</f>
        <v>#REF!</v>
      </c>
      <c r="Q60" s="10"/>
      <c r="R60" s="16">
        <f t="shared" si="24"/>
        <v>0</v>
      </c>
      <c r="S60" s="10"/>
      <c r="T60" s="40">
        <f t="shared" si="25"/>
        <v>0.9</v>
      </c>
    </row>
    <row r="61" spans="1:21" ht="15.75" customHeight="1" x14ac:dyDescent="0.25">
      <c r="A61" s="505"/>
      <c r="B61" s="504" t="s">
        <v>12</v>
      </c>
      <c r="C61" s="504"/>
      <c r="D61" s="504"/>
      <c r="E61" s="504"/>
      <c r="F61" s="504"/>
      <c r="H61" s="46" t="e">
        <f>COUNTIFS(#REF!,"HOUSING SOUTH TEAM 6",#REF!,"&lt;&gt;NV")</f>
        <v>#REF!</v>
      </c>
      <c r="I61" s="10"/>
      <c r="J61" s="46" t="e">
        <f t="array" ref="J61">SUM(COUNTIFS(#REF!,"HOUSING SOUTH TEAM 6",#REF!,{"1","2","3","4"}))</f>
        <v>#REF!</v>
      </c>
      <c r="K61" s="10"/>
      <c r="L61" s="16" t="e">
        <f>J61/H61</f>
        <v>#REF!</v>
      </c>
      <c r="M61" s="10"/>
      <c r="N61" s="16">
        <f>$F$1</f>
        <v>1</v>
      </c>
      <c r="O61" s="8"/>
      <c r="P61" s="46" t="e">
        <f>COUNTIFS(#REF!,"HOUSING SOUTH TEAM 6",#REF!,3)+COUNTIFS(#REF!,"HOUSING SOUTH TEAM 6",#REF!,4)</f>
        <v>#REF!</v>
      </c>
      <c r="Q61" s="10"/>
      <c r="R61" s="16">
        <f t="shared" si="24"/>
        <v>0</v>
      </c>
      <c r="S61" s="10"/>
      <c r="T61" s="40">
        <f t="shared" si="25"/>
        <v>0.9</v>
      </c>
    </row>
    <row r="62" spans="1:21" ht="15.75" customHeight="1" x14ac:dyDescent="0.25">
      <c r="A62" s="506"/>
      <c r="B62" s="504" t="s">
        <v>13</v>
      </c>
      <c r="C62" s="504"/>
      <c r="D62" s="504"/>
      <c r="E62" s="504"/>
      <c r="F62" s="504"/>
      <c r="H62" s="46" t="e">
        <f>H59+H60+H61</f>
        <v>#REF!</v>
      </c>
      <c r="I62" s="10"/>
      <c r="J62" s="46" t="e">
        <f>SUM(J59:J61)</f>
        <v>#REF!</v>
      </c>
      <c r="K62" s="10"/>
      <c r="L62" s="16" t="e">
        <f>J62/H62</f>
        <v>#REF!</v>
      </c>
      <c r="M62" s="10"/>
      <c r="N62" s="16">
        <f>$F$1</f>
        <v>1</v>
      </c>
      <c r="O62" s="8"/>
      <c r="P62" s="46" t="e">
        <f>SUM(P59:P61)</f>
        <v>#REF!</v>
      </c>
      <c r="Q62" s="10"/>
      <c r="R62" s="16">
        <f t="shared" si="24"/>
        <v>0</v>
      </c>
      <c r="S62" s="10"/>
      <c r="T62" s="40">
        <f t="shared" si="25"/>
        <v>0.9</v>
      </c>
    </row>
    <row r="63" spans="1:21" ht="16.5" customHeight="1" x14ac:dyDescent="0.25">
      <c r="H63"/>
      <c r="J63"/>
      <c r="P63"/>
    </row>
    <row r="64" spans="1:21" ht="16.5" customHeight="1" x14ac:dyDescent="0.25">
      <c r="A64" s="510" t="s">
        <v>1362</v>
      </c>
      <c r="B64" s="507" t="s">
        <v>10</v>
      </c>
      <c r="C64" s="508"/>
      <c r="D64" s="508"/>
      <c r="E64" s="508"/>
      <c r="F64" s="509"/>
      <c r="H64" s="46" t="e">
        <f>COUNTIFS(tbl_cleaning[Housing Team],"Housing IMR",#REF!,"&lt;&gt;NV")</f>
        <v>#REF!</v>
      </c>
      <c r="I64" s="10"/>
      <c r="J64" s="46" t="e" cm="1">
        <f t="array" ref="J64">SUM(COUNTIFS(tbl_cleaning[Housing Team],"Housing IMR",#REF!,{"1","2","3","4"}))</f>
        <v>#REF!</v>
      </c>
      <c r="K64" s="10"/>
      <c r="L64" s="16" t="e">
        <f>J64/H64</f>
        <v>#REF!</v>
      </c>
      <c r="M64" s="10"/>
      <c r="N64" s="16">
        <f>$F$1</f>
        <v>1</v>
      </c>
      <c r="O64" s="8"/>
      <c r="P64" s="46" t="e">
        <f>COUNTIFS(tbl_cleaning[Housing Team],"Housing IMR",#REF!,3)+COUNTIFS(tbl_cleaning[Housing Team],"Housing IMR",#REF!,4)</f>
        <v>#REF!</v>
      </c>
      <c r="Q64" s="10"/>
      <c r="R64" s="16">
        <f t="shared" ref="R64:R67" si="26">IFERROR(P64/J64,0)</f>
        <v>0</v>
      </c>
      <c r="S64" s="10"/>
      <c r="T64" s="40">
        <f t="shared" ref="T64:T67" si="27">$Q$1</f>
        <v>0.9</v>
      </c>
    </row>
    <row r="65" spans="1:21" ht="16.5" customHeight="1" x14ac:dyDescent="0.25">
      <c r="A65" s="510"/>
      <c r="B65" s="507" t="s">
        <v>11</v>
      </c>
      <c r="C65" s="508"/>
      <c r="D65" s="508"/>
      <c r="E65" s="508"/>
      <c r="F65" s="509"/>
      <c r="H65" s="46" t="e">
        <f>COUNTIFS(tbl_cleaning[Housing Team],"Housing IMR",#REF!,"&lt;&gt;NV")</f>
        <v>#REF!</v>
      </c>
      <c r="I65" s="10"/>
      <c r="J65" s="46" t="e" cm="1">
        <f t="array" ref="J65">SUM(COUNTIFS(tbl_cleaning[Housing Team],"Housing IMR",#REF!,{"1","2","3","4"}))</f>
        <v>#REF!</v>
      </c>
      <c r="K65" s="10"/>
      <c r="L65" s="16" t="e">
        <f>J65/H65</f>
        <v>#REF!</v>
      </c>
      <c r="M65" s="10"/>
      <c r="N65" s="16">
        <f>$F$1</f>
        <v>1</v>
      </c>
      <c r="O65" s="8"/>
      <c r="P65" s="46" t="e">
        <f>COUNTIFS(tbl_cleaning[Housing Team],"Housing IMR",#REF!,3)+COUNTIFS(tbl_cleaning[Housing Team],"Housing IMR",#REF!,4)</f>
        <v>#REF!</v>
      </c>
      <c r="Q65" s="10"/>
      <c r="R65" s="16">
        <f t="shared" si="26"/>
        <v>0</v>
      </c>
      <c r="S65" s="10"/>
      <c r="T65" s="40">
        <f t="shared" si="27"/>
        <v>0.9</v>
      </c>
    </row>
    <row r="66" spans="1:21" ht="15.75" customHeight="1" x14ac:dyDescent="0.25">
      <c r="A66" s="510"/>
      <c r="B66" s="507" t="s">
        <v>12</v>
      </c>
      <c r="C66" s="508"/>
      <c r="D66" s="508"/>
      <c r="E66" s="508"/>
      <c r="F66" s="509"/>
      <c r="H66" s="46" t="e">
        <f>COUNTIFS(#REF!,"Housing IMR",#REF!,"&lt;&gt;NV")</f>
        <v>#REF!</v>
      </c>
      <c r="I66" s="10"/>
      <c r="J66" s="46" t="e">
        <f t="array" ref="J66">SUM(COUNTIFS(#REF!,"Housing IMR",#REF!,{"1","2","3","4"}))</f>
        <v>#REF!</v>
      </c>
      <c r="K66" s="10"/>
      <c r="L66" s="16" t="e">
        <f>J66/H66</f>
        <v>#REF!</v>
      </c>
      <c r="M66" s="10"/>
      <c r="N66" s="16">
        <f>$F$1</f>
        <v>1</v>
      </c>
      <c r="O66" s="8"/>
      <c r="P66" s="46" t="e">
        <f>COUNTIFS(#REF!,"Housing IMR",#REF!,3)+COUNTIFS(#REF!,"Housing IMR",#REF!,4)</f>
        <v>#REF!</v>
      </c>
      <c r="Q66" s="10"/>
      <c r="R66" s="16">
        <f t="shared" si="26"/>
        <v>0</v>
      </c>
      <c r="S66" s="10"/>
      <c r="T66" s="40">
        <f t="shared" si="27"/>
        <v>0.9</v>
      </c>
    </row>
    <row r="67" spans="1:21" ht="15.75" customHeight="1" x14ac:dyDescent="0.25">
      <c r="A67" s="510"/>
      <c r="B67" s="507" t="s">
        <v>13</v>
      </c>
      <c r="C67" s="508"/>
      <c r="D67" s="508"/>
      <c r="E67" s="508"/>
      <c r="F67" s="509"/>
      <c r="H67" s="46" t="e">
        <f>H64+H65+H66</f>
        <v>#REF!</v>
      </c>
      <c r="I67" s="10"/>
      <c r="J67" s="46" t="e">
        <f>SUM(J64:J66)</f>
        <v>#REF!</v>
      </c>
      <c r="K67" s="10"/>
      <c r="L67" s="16" t="e">
        <f>J67/H67</f>
        <v>#REF!</v>
      </c>
      <c r="M67" s="10"/>
      <c r="N67" s="16">
        <f>$F$1</f>
        <v>1</v>
      </c>
      <c r="O67" s="8"/>
      <c r="P67" s="46" t="e">
        <f>SUM(P64:P66)</f>
        <v>#REF!</v>
      </c>
      <c r="Q67" s="10"/>
      <c r="R67" s="16">
        <f t="shared" si="26"/>
        <v>0</v>
      </c>
      <c r="S67" s="10"/>
      <c r="T67" s="40">
        <f t="shared" si="27"/>
        <v>0.9</v>
      </c>
    </row>
    <row r="68" spans="1:21" ht="15.75" customHeight="1" x14ac:dyDescent="0.25">
      <c r="H68"/>
      <c r="J68"/>
      <c r="P68"/>
    </row>
    <row r="69" spans="1:21" ht="15.75" customHeight="1" x14ac:dyDescent="0.25">
      <c r="A69" s="510" t="s">
        <v>1390</v>
      </c>
      <c r="B69" s="507" t="s">
        <v>10</v>
      </c>
      <c r="C69" s="508"/>
      <c r="D69" s="508"/>
      <c r="E69" s="508"/>
      <c r="F69" s="509"/>
      <c r="H69" s="46" t="e">
        <f>COUNTIFS(tbl_cleaning[Housing Team],"HOUSING EAST TEAM 1",#REF!,"&lt;&gt;NV")</f>
        <v>#REF!</v>
      </c>
      <c r="I69" s="10"/>
      <c r="J69" s="46" t="e" cm="1">
        <f t="array" ref="J69">SUM(COUNTIFS(tbl_cleaning[Housing Team],"HOUSING EAST TEAM 1",#REF!,{"1","2","3","4"}))</f>
        <v>#REF!</v>
      </c>
      <c r="K69" s="10"/>
      <c r="L69" s="16" t="e">
        <f>J69/H69</f>
        <v>#REF!</v>
      </c>
      <c r="M69" s="10"/>
      <c r="N69" s="16">
        <f>$F$1</f>
        <v>1</v>
      </c>
      <c r="O69" s="8"/>
      <c r="P69" s="46" t="e">
        <f>COUNTIFS(tbl_cleaning[Housing Team],"HOUSING EAST TEAM 1",#REF!,3)+COUNTIFS(tbl_cleaning[Housing Team],"HOUSING EAST TEAM 1",#REF!,4)</f>
        <v>#REF!</v>
      </c>
      <c r="Q69" s="10"/>
      <c r="R69" s="16">
        <f t="shared" ref="R69:R72" si="28">IFERROR(P69/J69,0)</f>
        <v>0</v>
      </c>
      <c r="S69" s="10"/>
      <c r="T69" s="40">
        <f t="shared" ref="T69:T72" si="29">$Q$1</f>
        <v>0.9</v>
      </c>
      <c r="U69" s="8"/>
    </row>
    <row r="70" spans="1:21" ht="15.75" customHeight="1" x14ac:dyDescent="0.25">
      <c r="A70" s="510"/>
      <c r="B70" s="507" t="s">
        <v>11</v>
      </c>
      <c r="C70" s="508"/>
      <c r="D70" s="508"/>
      <c r="E70" s="508"/>
      <c r="F70" s="509"/>
      <c r="H70" s="46" t="e">
        <f>COUNTIFS(tbl_cleaning[Housing Team],"HOUSING EAST TEAM 1",#REF!,"&lt;&gt;NV")</f>
        <v>#REF!</v>
      </c>
      <c r="I70" s="10"/>
      <c r="J70" s="46" t="e" cm="1">
        <f t="array" ref="J70">SUM(COUNTIFS(tbl_cleaning[Housing Team],"HOUSING EAST TEAM 1",#REF!,{"1","2","3","4"}))</f>
        <v>#REF!</v>
      </c>
      <c r="K70" s="10"/>
      <c r="L70" s="16" t="e">
        <f>J70/H70</f>
        <v>#REF!</v>
      </c>
      <c r="M70" s="10"/>
      <c r="N70" s="16">
        <f>$F$1</f>
        <v>1</v>
      </c>
      <c r="O70" s="8"/>
      <c r="P70" s="46" t="e">
        <f>COUNTIFS(tbl_cleaning[Housing Team],"HOUSING EAST TEAM 1",#REF!,3)+COUNTIFS(tbl_cleaning[Housing Team],"HOUSING EAST TEAM 1",#REF!,4)</f>
        <v>#REF!</v>
      </c>
      <c r="Q70" s="10"/>
      <c r="R70" s="16">
        <f t="shared" si="28"/>
        <v>0</v>
      </c>
      <c r="S70" s="10"/>
      <c r="T70" s="40">
        <f t="shared" si="29"/>
        <v>0.9</v>
      </c>
      <c r="U70" s="8"/>
    </row>
    <row r="71" spans="1:21" ht="15.75" customHeight="1" x14ac:dyDescent="0.25">
      <c r="A71" s="510"/>
      <c r="B71" s="507" t="s">
        <v>12</v>
      </c>
      <c r="C71" s="508"/>
      <c r="D71" s="508"/>
      <c r="E71" s="508"/>
      <c r="F71" s="509"/>
      <c r="H71" s="46" t="e">
        <f>COUNTIFS(#REF!,"HOUSING EAST TEAM 1",#REF!,"&lt;&gt;NV")</f>
        <v>#REF!</v>
      </c>
      <c r="I71" s="10"/>
      <c r="J71" s="46" t="e">
        <f t="array" ref="J71">SUM(COUNTIFS(#REF!,"HOUSING EAST TEAM 1",#REF!,{"1","2","3","4"}))</f>
        <v>#REF!</v>
      </c>
      <c r="K71" s="10"/>
      <c r="L71" s="16" t="e">
        <f>J71/H71</f>
        <v>#REF!</v>
      </c>
      <c r="M71" s="10"/>
      <c r="N71" s="16">
        <f>$F$1</f>
        <v>1</v>
      </c>
      <c r="O71" s="8"/>
      <c r="P71" s="46" t="e">
        <f>COUNTIFS(#REF!,"HOUSING EAST TEAM 1",#REF!,3)+COUNTIFS(#REF!,"HOUSING EAST TEAM 1",#REF!,4)</f>
        <v>#REF!</v>
      </c>
      <c r="Q71" s="10"/>
      <c r="R71" s="16">
        <f t="shared" si="28"/>
        <v>0</v>
      </c>
      <c r="S71" s="10"/>
      <c r="T71" s="40">
        <f t="shared" si="29"/>
        <v>0.9</v>
      </c>
      <c r="U71" s="8"/>
    </row>
    <row r="72" spans="1:21" ht="15.75" customHeight="1" x14ac:dyDescent="0.25">
      <c r="A72" s="511"/>
      <c r="B72" s="504" t="s">
        <v>13</v>
      </c>
      <c r="C72" s="504"/>
      <c r="D72" s="504"/>
      <c r="E72" s="504"/>
      <c r="F72" s="504"/>
      <c r="H72" s="46" t="e">
        <f>H69+H70+H71</f>
        <v>#REF!</v>
      </c>
      <c r="I72" s="10"/>
      <c r="J72" s="46" t="e">
        <f>SUM(J69:J71)</f>
        <v>#REF!</v>
      </c>
      <c r="K72" s="10"/>
      <c r="L72" s="16" t="e">
        <f>J72/H72</f>
        <v>#REF!</v>
      </c>
      <c r="M72" s="10"/>
      <c r="N72" s="16">
        <f>$F$1</f>
        <v>1</v>
      </c>
      <c r="O72" s="8"/>
      <c r="P72" s="46" t="e">
        <f>SUM(P69:P71)</f>
        <v>#REF!</v>
      </c>
      <c r="Q72" s="10"/>
      <c r="R72" s="16">
        <f t="shared" si="28"/>
        <v>0</v>
      </c>
      <c r="S72" s="10"/>
      <c r="T72" s="40">
        <f t="shared" si="29"/>
        <v>0.9</v>
      </c>
      <c r="U72" s="8"/>
    </row>
    <row r="73" spans="1:21" ht="15.75" customHeight="1" x14ac:dyDescent="0.25">
      <c r="H73"/>
      <c r="J73"/>
      <c r="P73"/>
    </row>
    <row r="74" spans="1:21" ht="15.75" customHeight="1" x14ac:dyDescent="0.25">
      <c r="A74" s="510" t="s">
        <v>1383</v>
      </c>
      <c r="B74" s="504" t="s">
        <v>10</v>
      </c>
      <c r="C74" s="504"/>
      <c r="D74" s="504"/>
      <c r="E74" s="504"/>
      <c r="F74" s="504"/>
      <c r="H74" s="46" t="e">
        <f>COUNTIFS(tbl_cleaning[Housing Team],"HOUSING EAST TEAM 2",#REF!,"&lt;&gt;NV")</f>
        <v>#REF!</v>
      </c>
      <c r="I74" s="10"/>
      <c r="J74" s="46" t="e" cm="1">
        <f t="array" ref="J74">SUM(COUNTIFS(tbl_cleaning[Housing Team],"HOUSING EAST TEAM 2",#REF!,{"1","2","3","4"}))</f>
        <v>#REF!</v>
      </c>
      <c r="K74" s="10"/>
      <c r="L74" s="16" t="e">
        <f>J74/H74</f>
        <v>#REF!</v>
      </c>
      <c r="M74" s="10"/>
      <c r="N74" s="16">
        <f>$F$1</f>
        <v>1</v>
      </c>
      <c r="O74" s="8"/>
      <c r="P74" s="46" t="e">
        <f>COUNTIFS(tbl_cleaning[Housing Team],"HOUSING EAST TEAM 2",#REF!,3)+COUNTIFS(tbl_cleaning[Housing Team],"HOUSING EAST TEAM 2",#REF!,4)</f>
        <v>#REF!</v>
      </c>
      <c r="Q74" s="10"/>
      <c r="R74" s="16">
        <f t="shared" ref="R74:R77" si="30">IFERROR(P74/J74,0)</f>
        <v>0</v>
      </c>
      <c r="S74" s="10"/>
      <c r="T74" s="40">
        <f t="shared" ref="T74:T77" si="31">$Q$1</f>
        <v>0.9</v>
      </c>
      <c r="U74" s="8"/>
    </row>
    <row r="75" spans="1:21" ht="15.75" customHeight="1" x14ac:dyDescent="0.25">
      <c r="A75" s="512"/>
      <c r="B75" s="504" t="s">
        <v>11</v>
      </c>
      <c r="C75" s="504"/>
      <c r="D75" s="504"/>
      <c r="E75" s="504"/>
      <c r="F75" s="504"/>
      <c r="H75" s="46" t="e">
        <f>COUNTIFS(tbl_cleaning[Housing Team],"HOUSING EAST TEAM 2",#REF!,"&lt;&gt;NV")</f>
        <v>#REF!</v>
      </c>
      <c r="I75" s="10"/>
      <c r="J75" s="46" t="e" cm="1">
        <f t="array" ref="J75">SUM(COUNTIFS(tbl_cleaning[Housing Team],"HOUSING EAST TEAM 2",#REF!,{"1","2","3","4"}))</f>
        <v>#REF!</v>
      </c>
      <c r="K75" s="10"/>
      <c r="L75" s="16" t="e">
        <f>J75/H75</f>
        <v>#REF!</v>
      </c>
      <c r="M75" s="10"/>
      <c r="N75" s="16">
        <f>$F$1</f>
        <v>1</v>
      </c>
      <c r="O75" s="8"/>
      <c r="P75" s="46" t="e">
        <f>COUNTIFS(tbl_cleaning[Housing Team],"HOUSING EAST TEAM 2",#REF!,3)+COUNTIFS(tbl_cleaning[Housing Team],"HOUSING EAST TEAM 2",#REF!,4)</f>
        <v>#REF!</v>
      </c>
      <c r="Q75" s="10"/>
      <c r="R75" s="16">
        <f t="shared" si="30"/>
        <v>0</v>
      </c>
      <c r="S75" s="10"/>
      <c r="T75" s="40">
        <f t="shared" si="31"/>
        <v>0.9</v>
      </c>
      <c r="U75" s="8"/>
    </row>
    <row r="76" spans="1:21" ht="15.75" customHeight="1" x14ac:dyDescent="0.25">
      <c r="A76" s="512"/>
      <c r="B76" s="504" t="s">
        <v>12</v>
      </c>
      <c r="C76" s="504"/>
      <c r="D76" s="504"/>
      <c r="E76" s="504"/>
      <c r="F76" s="504"/>
      <c r="H76" s="46" t="e">
        <f>COUNTIFS(#REF!,"HOUSING EAST TEAM 2",#REF!,"&lt;&gt;NV")</f>
        <v>#REF!</v>
      </c>
      <c r="I76" s="10"/>
      <c r="J76" s="46" t="e">
        <f t="array" ref="J76">SUM(COUNTIFS(#REF!,"HOUSING EAST TEAM 2",#REF!,{"1","2","3","4"}))</f>
        <v>#REF!</v>
      </c>
      <c r="K76" s="10"/>
      <c r="L76" s="16" t="e">
        <f>J76/H76</f>
        <v>#REF!</v>
      </c>
      <c r="M76" s="10"/>
      <c r="N76" s="16">
        <f>$F$1</f>
        <v>1</v>
      </c>
      <c r="O76" s="8"/>
      <c r="P76" s="46" t="e">
        <f>COUNTIFS(#REF!,"HOUSING EAST TEAM 2",#REF!,3)+COUNTIFS(#REF!,"HOUSING EAST TEAM 2",#REF!,4)</f>
        <v>#REF!</v>
      </c>
      <c r="Q76" s="10"/>
      <c r="R76" s="16">
        <f t="shared" si="30"/>
        <v>0</v>
      </c>
      <c r="S76" s="10"/>
      <c r="T76" s="40">
        <f t="shared" si="31"/>
        <v>0.9</v>
      </c>
      <c r="U76" s="8"/>
    </row>
    <row r="77" spans="1:21" ht="15.75" customHeight="1" x14ac:dyDescent="0.25">
      <c r="A77" s="513"/>
      <c r="B77" s="504" t="s">
        <v>13</v>
      </c>
      <c r="C77" s="504"/>
      <c r="D77" s="504"/>
      <c r="E77" s="504"/>
      <c r="F77" s="504"/>
      <c r="H77" s="46" t="e">
        <f>H74+H75+H76</f>
        <v>#REF!</v>
      </c>
      <c r="I77" s="10"/>
      <c r="J77" s="46" t="e">
        <f>SUM(J74:J76)</f>
        <v>#REF!</v>
      </c>
      <c r="K77" s="10"/>
      <c r="L77" s="16" t="e">
        <f>J77/H77</f>
        <v>#REF!</v>
      </c>
      <c r="M77" s="10"/>
      <c r="N77" s="16">
        <f>$F$1</f>
        <v>1</v>
      </c>
      <c r="O77" s="8"/>
      <c r="P77" s="46" t="e">
        <f>SUM(P74:P76)</f>
        <v>#REF!</v>
      </c>
      <c r="Q77" s="10"/>
      <c r="R77" s="16">
        <f t="shared" si="30"/>
        <v>0</v>
      </c>
      <c r="S77" s="10"/>
      <c r="T77" s="40">
        <f t="shared" si="31"/>
        <v>0.9</v>
      </c>
      <c r="U77" s="8"/>
    </row>
    <row r="78" spans="1:21" ht="15.75" customHeight="1" x14ac:dyDescent="0.25">
      <c r="H78"/>
      <c r="J78"/>
      <c r="P78"/>
    </row>
    <row r="79" spans="1:21" ht="15.75" customHeight="1" x14ac:dyDescent="0.25">
      <c r="A79" s="510" t="s">
        <v>1365</v>
      </c>
      <c r="B79" s="504" t="s">
        <v>10</v>
      </c>
      <c r="C79" s="504"/>
      <c r="D79" s="504"/>
      <c r="E79" s="504"/>
      <c r="F79" s="504"/>
      <c r="H79" s="46" t="e">
        <f>COUNTIFS(tbl_cleaning[Housing Team],"HOUSING EAST TEAM 3",#REF!,"&lt;&gt;NV")</f>
        <v>#REF!</v>
      </c>
      <c r="I79" s="10"/>
      <c r="J79" s="46" t="e" cm="1">
        <f t="array" ref="J79">SUM(COUNTIFS(tbl_cleaning[Housing Team],"HOUSING EAST TEAM 3",#REF!,{"1","2","3","4"}))</f>
        <v>#REF!</v>
      </c>
      <c r="K79" s="10"/>
      <c r="L79" s="16" t="e">
        <f>J79/H79</f>
        <v>#REF!</v>
      </c>
      <c r="M79" s="10"/>
      <c r="N79" s="16">
        <f>$F$1</f>
        <v>1</v>
      </c>
      <c r="O79" s="8"/>
      <c r="P79" s="46" t="e">
        <f>COUNTIFS(tbl_cleaning[Housing Team],"HOUSING EAST TEAM 3",#REF!,3)+COUNTIFS(tbl_cleaning[Housing Team],"HOUSING EAST TEAM 3",#REF!,4)</f>
        <v>#REF!</v>
      </c>
      <c r="Q79" s="10"/>
      <c r="R79" s="16">
        <f t="shared" ref="R79:R82" si="32">IFERROR(P79/J79,0)</f>
        <v>0</v>
      </c>
      <c r="S79" s="10"/>
      <c r="T79" s="40">
        <f t="shared" ref="T79:T82" si="33">$Q$1</f>
        <v>0.9</v>
      </c>
      <c r="U79" s="8"/>
    </row>
    <row r="80" spans="1:21" ht="15.75" customHeight="1" x14ac:dyDescent="0.25">
      <c r="A80" s="512"/>
      <c r="B80" s="504" t="s">
        <v>11</v>
      </c>
      <c r="C80" s="504"/>
      <c r="D80" s="504"/>
      <c r="E80" s="504"/>
      <c r="F80" s="504"/>
      <c r="H80" s="46" t="e">
        <f>COUNTIFS(tbl_cleaning[Housing Team],"HOUSING EAST TEAM 3",#REF!,"&lt;&gt;NV")</f>
        <v>#REF!</v>
      </c>
      <c r="I80" s="10"/>
      <c r="J80" s="46" t="e" cm="1">
        <f t="array" ref="J80">SUM(COUNTIFS(tbl_cleaning[Housing Team],"HOUSING EAST TEAM 3",#REF!,{"1","2","3","4"}))</f>
        <v>#REF!</v>
      </c>
      <c r="K80" s="10"/>
      <c r="L80" s="16" t="e">
        <f>J80/H80</f>
        <v>#REF!</v>
      </c>
      <c r="M80" s="10"/>
      <c r="N80" s="16">
        <f>$F$1</f>
        <v>1</v>
      </c>
      <c r="O80" s="8"/>
      <c r="P80" s="46" t="e">
        <f>COUNTIFS(tbl_cleaning[Housing Team],"HOUSING EAST TEAM 3",#REF!,3)+COUNTIFS(tbl_cleaning[Housing Team],"HOUSING EAST TEAM 3",#REF!,4)</f>
        <v>#REF!</v>
      </c>
      <c r="Q80" s="10"/>
      <c r="R80" s="16">
        <f t="shared" si="32"/>
        <v>0</v>
      </c>
      <c r="S80" s="10"/>
      <c r="T80" s="40">
        <f t="shared" si="33"/>
        <v>0.9</v>
      </c>
      <c r="U80" s="8"/>
    </row>
    <row r="81" spans="1:21" ht="15.75" customHeight="1" x14ac:dyDescent="0.25">
      <c r="A81" s="512"/>
      <c r="B81" s="504" t="s">
        <v>12</v>
      </c>
      <c r="C81" s="504"/>
      <c r="D81" s="504"/>
      <c r="E81" s="504"/>
      <c r="F81" s="504"/>
      <c r="H81" s="46" t="e">
        <f>COUNTIFS(#REF!,"HOUSING EAST TEAM 3",#REF!,"&lt;&gt;NV")</f>
        <v>#REF!</v>
      </c>
      <c r="I81" s="10"/>
      <c r="J81" s="46" t="e">
        <f t="array" ref="J81">SUM(COUNTIFS(#REF!,"HOUSING EAST TEAM 3",#REF!,{"1","2","3","4"}))</f>
        <v>#REF!</v>
      </c>
      <c r="K81" s="10"/>
      <c r="L81" s="16" t="e">
        <f>J81/H81</f>
        <v>#REF!</v>
      </c>
      <c r="M81" s="10"/>
      <c r="N81" s="16">
        <f>$F$1</f>
        <v>1</v>
      </c>
      <c r="O81" s="8"/>
      <c r="P81" s="46" t="e">
        <f>COUNTIFS(#REF!,"HOUSING EAST TEAM 3",#REF!,3)+COUNTIFS(#REF!,"HOUSING EAST TEAM 3",#REF!,4)</f>
        <v>#REF!</v>
      </c>
      <c r="Q81" s="10"/>
      <c r="R81" s="16">
        <f t="shared" si="32"/>
        <v>0</v>
      </c>
      <c r="S81" s="10"/>
      <c r="T81" s="40">
        <f t="shared" si="33"/>
        <v>0.9</v>
      </c>
      <c r="U81" s="8"/>
    </row>
    <row r="82" spans="1:21" ht="15.75" customHeight="1" x14ac:dyDescent="0.25">
      <c r="A82" s="513"/>
      <c r="B82" s="504" t="s">
        <v>13</v>
      </c>
      <c r="C82" s="504"/>
      <c r="D82" s="504"/>
      <c r="E82" s="504"/>
      <c r="F82" s="504"/>
      <c r="H82" s="46" t="e">
        <f>H79+H80+H81</f>
        <v>#REF!</v>
      </c>
      <c r="I82" s="10"/>
      <c r="J82" s="46" t="e">
        <f>SUM(J79:J81)</f>
        <v>#REF!</v>
      </c>
      <c r="K82" s="10"/>
      <c r="L82" s="16" t="e">
        <f>J82/H82</f>
        <v>#REF!</v>
      </c>
      <c r="M82" s="10"/>
      <c r="N82" s="16">
        <f>$F$1</f>
        <v>1</v>
      </c>
      <c r="O82" s="8"/>
      <c r="P82" s="46" t="e">
        <f>SUM(P79:P81)</f>
        <v>#REF!</v>
      </c>
      <c r="Q82" s="10"/>
      <c r="R82" s="16">
        <f t="shared" si="32"/>
        <v>0</v>
      </c>
      <c r="S82" s="10"/>
      <c r="T82" s="40">
        <f t="shared" si="33"/>
        <v>0.9</v>
      </c>
      <c r="U82" s="8"/>
    </row>
    <row r="83" spans="1:21" ht="15.75" customHeight="1" x14ac:dyDescent="0.25">
      <c r="H83"/>
      <c r="J83"/>
      <c r="P83"/>
    </row>
    <row r="84" spans="1:21" ht="15.75" customHeight="1" x14ac:dyDescent="0.25">
      <c r="A84" s="510" t="s">
        <v>1378</v>
      </c>
      <c r="B84" s="504" t="s">
        <v>10</v>
      </c>
      <c r="C84" s="504"/>
      <c r="D84" s="504"/>
      <c r="E84" s="504"/>
      <c r="F84" s="504"/>
      <c r="H84" s="46" t="e">
        <f>COUNTIFS(tbl_cleaning[Housing Team],"HOUSING EAST TEAM 4",#REF!,"&lt;&gt;NV")</f>
        <v>#REF!</v>
      </c>
      <c r="I84" s="10"/>
      <c r="J84" s="46" t="e" cm="1">
        <f t="array" ref="J84">SUM(COUNTIFS(tbl_cleaning[Housing Team],"HOUSING EAST TEAM 4",#REF!,{"1","2","3","4"}))</f>
        <v>#REF!</v>
      </c>
      <c r="K84" s="10"/>
      <c r="L84" s="16" t="e">
        <f>J84/H84</f>
        <v>#REF!</v>
      </c>
      <c r="M84" s="10"/>
      <c r="N84" s="16">
        <f>$F$1</f>
        <v>1</v>
      </c>
      <c r="O84" s="8"/>
      <c r="P84" s="46" t="e">
        <f>COUNTIFS(tbl_cleaning[Housing Team],"HOUSING EAST TEAM 4",#REF!,3)+COUNTIFS(tbl_cleaning[Housing Team],"HOUSING EAST TEAM 4",#REF!,4)</f>
        <v>#REF!</v>
      </c>
      <c r="Q84" s="10"/>
      <c r="R84" s="16">
        <f t="shared" ref="R84:R87" si="34">IFERROR(P84/J84,0)</f>
        <v>0</v>
      </c>
      <c r="S84" s="10"/>
      <c r="T84" s="40">
        <f t="shared" ref="T84:T87" si="35">$Q$1</f>
        <v>0.9</v>
      </c>
      <c r="U84" s="8"/>
    </row>
    <row r="85" spans="1:21" ht="15.75" customHeight="1" x14ac:dyDescent="0.25">
      <c r="A85" s="512"/>
      <c r="B85" s="504" t="s">
        <v>11</v>
      </c>
      <c r="C85" s="504"/>
      <c r="D85" s="504"/>
      <c r="E85" s="504"/>
      <c r="F85" s="504"/>
      <c r="H85" s="46" t="e">
        <f>COUNTIFS(tbl_cleaning[Housing Team],"HOUSING EAST TEAM 4",#REF!,"&lt;&gt;NV")</f>
        <v>#REF!</v>
      </c>
      <c r="I85" s="10"/>
      <c r="J85" s="46" t="e" cm="1">
        <f t="array" ref="J85">SUM(COUNTIFS(tbl_cleaning[Housing Team],"HOUSING EAST TEAM 4",#REF!,{"1","2","3","4"}))</f>
        <v>#REF!</v>
      </c>
      <c r="K85" s="10"/>
      <c r="L85" s="16" t="e">
        <f>J85/H85</f>
        <v>#REF!</v>
      </c>
      <c r="M85" s="10"/>
      <c r="N85" s="16">
        <f>$F$1</f>
        <v>1</v>
      </c>
      <c r="O85" s="8"/>
      <c r="P85" s="46" t="e">
        <f>COUNTIFS(tbl_cleaning[Housing Team],"HOUSING EAST TEAM 4",#REF!,3)+COUNTIFS(tbl_cleaning[Housing Team],"HOUSING EAST TEAM 4",#REF!,4)</f>
        <v>#REF!</v>
      </c>
      <c r="Q85" s="10"/>
      <c r="R85" s="16">
        <f t="shared" si="34"/>
        <v>0</v>
      </c>
      <c r="S85" s="10"/>
      <c r="T85" s="40">
        <f t="shared" si="35"/>
        <v>0.9</v>
      </c>
      <c r="U85" s="8"/>
    </row>
    <row r="86" spans="1:21" ht="15.75" customHeight="1" x14ac:dyDescent="0.25">
      <c r="A86" s="512"/>
      <c r="B86" s="504" t="s">
        <v>12</v>
      </c>
      <c r="C86" s="504"/>
      <c r="D86" s="504"/>
      <c r="E86" s="504"/>
      <c r="F86" s="504"/>
      <c r="H86" s="46" t="e">
        <f>COUNTIFS(#REF!,"HOUSING EAST TEAM 4",#REF!,"&lt;&gt;NV")</f>
        <v>#REF!</v>
      </c>
      <c r="I86" s="10"/>
      <c r="J86" s="46" t="e">
        <f t="array" ref="J86">SUM(COUNTIFS(#REF!,"HOUSING EAST TEAM 4",#REF!,{"1","2","3","4"}))</f>
        <v>#REF!</v>
      </c>
      <c r="K86" s="10"/>
      <c r="L86" s="16" t="e">
        <f>J86/H86</f>
        <v>#REF!</v>
      </c>
      <c r="M86" s="10"/>
      <c r="N86" s="16">
        <f>$F$1</f>
        <v>1</v>
      </c>
      <c r="O86" s="8"/>
      <c r="P86" s="46" t="e">
        <f>COUNTIFS(#REF!,"HOUSING EAST TEAM 4",#REF!,3)+COUNTIFS(#REF!,"HOUSING EAST TEAM 4",#REF!,4)</f>
        <v>#REF!</v>
      </c>
      <c r="Q86" s="10"/>
      <c r="R86" s="16">
        <f t="shared" si="34"/>
        <v>0</v>
      </c>
      <c r="S86" s="10"/>
      <c r="T86" s="40">
        <f t="shared" si="35"/>
        <v>0.9</v>
      </c>
      <c r="U86" s="8"/>
    </row>
    <row r="87" spans="1:21" ht="15.75" customHeight="1" x14ac:dyDescent="0.25">
      <c r="A87" s="513"/>
      <c r="B87" s="504" t="s">
        <v>13</v>
      </c>
      <c r="C87" s="504"/>
      <c r="D87" s="504"/>
      <c r="E87" s="504"/>
      <c r="F87" s="504"/>
      <c r="H87" s="46" t="e">
        <f>H84+H85+H86</f>
        <v>#REF!</v>
      </c>
      <c r="I87" s="10"/>
      <c r="J87" s="46" t="e">
        <f>SUM(J84:J86)</f>
        <v>#REF!</v>
      </c>
      <c r="K87" s="10"/>
      <c r="L87" s="16" t="e">
        <f>J87/H87</f>
        <v>#REF!</v>
      </c>
      <c r="M87" s="10"/>
      <c r="N87" s="16">
        <f>$F$1</f>
        <v>1</v>
      </c>
      <c r="O87" s="8"/>
      <c r="P87" s="46" t="e">
        <f>SUM(P84:P86)</f>
        <v>#REF!</v>
      </c>
      <c r="Q87" s="10"/>
      <c r="R87" s="16">
        <f t="shared" si="34"/>
        <v>0</v>
      </c>
      <c r="S87" s="10"/>
      <c r="T87" s="40">
        <f t="shared" si="35"/>
        <v>0.9</v>
      </c>
      <c r="U87" s="8"/>
    </row>
    <row r="88" spans="1:21" ht="15.75" customHeight="1" x14ac:dyDescent="0.25">
      <c r="H88"/>
      <c r="J88"/>
      <c r="P88"/>
    </row>
    <row r="89" spans="1:21" ht="15.75" customHeight="1" x14ac:dyDescent="0.25">
      <c r="A89" s="514" t="s">
        <v>1372</v>
      </c>
      <c r="B89" s="504" t="s">
        <v>10</v>
      </c>
      <c r="C89" s="504"/>
      <c r="D89" s="504"/>
      <c r="E89" s="504"/>
      <c r="F89" s="504"/>
      <c r="H89" s="46" t="e">
        <f>COUNTIFS(tbl_cleaning[Housing Team],"HOUSING NORTH TEAM 1",#REF!,"&lt;&gt;NV")</f>
        <v>#REF!</v>
      </c>
      <c r="I89" s="10"/>
      <c r="J89" s="46" t="e" cm="1">
        <f t="array" ref="J89">SUM(COUNTIFS(tbl_cleaning[Housing Team],"HOUSING NORTH TEAM 1",#REF!,{"1","2","3","4"}))</f>
        <v>#REF!</v>
      </c>
      <c r="K89" s="10"/>
      <c r="L89" s="16" t="e">
        <f>J89/H89</f>
        <v>#REF!</v>
      </c>
      <c r="M89" s="10"/>
      <c r="N89" s="16">
        <f>$F$1</f>
        <v>1</v>
      </c>
      <c r="O89" s="8"/>
      <c r="P89" s="46" t="e">
        <f>COUNTIFS(tbl_cleaning[Housing Team],"HOUSING NORTH TEAM 1",#REF!,3)+COUNTIFS(tbl_cleaning[Housing Team],"HOUSING NORTH TEAM 1",#REF!,4)</f>
        <v>#REF!</v>
      </c>
      <c r="Q89" s="10"/>
      <c r="R89" s="16">
        <f t="shared" ref="R89:R92" si="36">IFERROR(P89/J89,0)</f>
        <v>0</v>
      </c>
      <c r="S89" s="10"/>
      <c r="T89" s="40">
        <f t="shared" ref="T89:T92" si="37">$Q$1</f>
        <v>0.9</v>
      </c>
      <c r="U89" s="8"/>
    </row>
    <row r="90" spans="1:21" ht="15.75" customHeight="1" x14ac:dyDescent="0.25">
      <c r="A90" s="515"/>
      <c r="B90" s="504" t="s">
        <v>11</v>
      </c>
      <c r="C90" s="504"/>
      <c r="D90" s="504"/>
      <c r="E90" s="504"/>
      <c r="F90" s="504"/>
      <c r="H90" s="46" t="e">
        <f>COUNTIFS(tbl_cleaning[Housing Team],"HOUSING NORTH TEAM 1",#REF!,"&lt;&gt;NV")</f>
        <v>#REF!</v>
      </c>
      <c r="I90" s="10"/>
      <c r="J90" s="46" t="e" cm="1">
        <f t="array" ref="J90">SUM(COUNTIFS(tbl_cleaning[Housing Team],"HOUSING NORTH TEAM 1",#REF!,{"1","2","3","4"}))</f>
        <v>#REF!</v>
      </c>
      <c r="K90" s="10"/>
      <c r="L90" s="16" t="e">
        <f>J90/H90</f>
        <v>#REF!</v>
      </c>
      <c r="M90" s="10"/>
      <c r="N90" s="16">
        <f>$F$1</f>
        <v>1</v>
      </c>
      <c r="O90" s="8"/>
      <c r="P90" s="46" t="e">
        <f>COUNTIFS(tbl_cleaning[Housing Team],"HOUSING NORTH TEAM 1",#REF!,3)+COUNTIFS(tbl_cleaning[Housing Team],"HOUSING NORTH TEAM 1",#REF!,4)</f>
        <v>#REF!</v>
      </c>
      <c r="Q90" s="10"/>
      <c r="R90" s="16">
        <f t="shared" si="36"/>
        <v>0</v>
      </c>
      <c r="S90" s="10"/>
      <c r="T90" s="40">
        <f t="shared" si="37"/>
        <v>0.9</v>
      </c>
      <c r="U90" s="8"/>
    </row>
    <row r="91" spans="1:21" ht="15.75" customHeight="1" x14ac:dyDescent="0.25">
      <c r="A91" s="515"/>
      <c r="B91" s="504" t="s">
        <v>12</v>
      </c>
      <c r="C91" s="504"/>
      <c r="D91" s="504"/>
      <c r="E91" s="504"/>
      <c r="F91" s="504"/>
      <c r="H91" s="46" t="e">
        <f>COUNTIFS(#REF!,"HOUSING NORTH TEAM 1",#REF!,"&lt;&gt;NV")</f>
        <v>#REF!</v>
      </c>
      <c r="I91" s="10"/>
      <c r="J91" s="46" t="e">
        <f t="array" ref="J91">SUM(COUNTIFS(#REF!,"HOUSING NORTH TEAM 1",#REF!,{"1","2","3","4"}))</f>
        <v>#REF!</v>
      </c>
      <c r="K91" s="10"/>
      <c r="L91" s="16" t="e">
        <f>J91/H91</f>
        <v>#REF!</v>
      </c>
      <c r="M91" s="10"/>
      <c r="N91" s="16">
        <f>$F$1</f>
        <v>1</v>
      </c>
      <c r="O91" s="8"/>
      <c r="P91" s="46" t="e">
        <f>COUNTIFS(#REF!,"HOUSING NORTH TEAM 1",#REF!,3)+COUNTIFS(#REF!,"HOUSING NORTH TEAM 1",#REF!,4)</f>
        <v>#REF!</v>
      </c>
      <c r="Q91" s="10"/>
      <c r="R91" s="16">
        <f t="shared" si="36"/>
        <v>0</v>
      </c>
      <c r="S91" s="10"/>
      <c r="T91" s="40">
        <f t="shared" si="37"/>
        <v>0.9</v>
      </c>
      <c r="U91" s="8"/>
    </row>
    <row r="92" spans="1:21" ht="15.75" customHeight="1" x14ac:dyDescent="0.25">
      <c r="A92" s="516"/>
      <c r="B92" s="504" t="s">
        <v>13</v>
      </c>
      <c r="C92" s="504"/>
      <c r="D92" s="504"/>
      <c r="E92" s="504"/>
      <c r="F92" s="504"/>
      <c r="H92" s="46" t="e">
        <f>H89+H90+H91</f>
        <v>#REF!</v>
      </c>
      <c r="I92" s="10"/>
      <c r="J92" s="46" t="e">
        <f>SUM(J89:J91)</f>
        <v>#REF!</v>
      </c>
      <c r="K92" s="10"/>
      <c r="L92" s="16" t="e">
        <f>J92/H92</f>
        <v>#REF!</v>
      </c>
      <c r="M92" s="10"/>
      <c r="N92" s="16">
        <f>$F$1</f>
        <v>1</v>
      </c>
      <c r="O92" s="8"/>
      <c r="P92" s="46" t="e">
        <f>SUM(P89:P91)</f>
        <v>#REF!</v>
      </c>
      <c r="Q92" s="10"/>
      <c r="R92" s="16">
        <f t="shared" si="36"/>
        <v>0</v>
      </c>
      <c r="S92" s="10"/>
      <c r="T92" s="40">
        <f t="shared" si="37"/>
        <v>0.9</v>
      </c>
      <c r="U92" s="8"/>
    </row>
    <row r="93" spans="1:21" ht="15.75" customHeight="1" x14ac:dyDescent="0.25">
      <c r="H93"/>
      <c r="J93"/>
      <c r="P93"/>
    </row>
    <row r="94" spans="1:21" ht="15.75" customHeight="1" x14ac:dyDescent="0.25">
      <c r="A94" s="514" t="s">
        <v>1368</v>
      </c>
      <c r="B94" s="504" t="s">
        <v>10</v>
      </c>
      <c r="C94" s="504"/>
      <c r="D94" s="504"/>
      <c r="E94" s="504"/>
      <c r="F94" s="504"/>
      <c r="H94" s="46" t="e">
        <f>COUNTIFS(tbl_cleaning[Housing Team],"HOUSING NORTH TEAM 2",#REF!,"&lt;&gt;NV")</f>
        <v>#REF!</v>
      </c>
      <c r="I94" s="10"/>
      <c r="J94" s="46" t="e" cm="1">
        <f t="array" ref="J94">SUM(COUNTIFS(tbl_cleaning[Housing Team],"HOUSING NORTH TEAM 2",#REF!,{"1","2","3","4"}))</f>
        <v>#REF!</v>
      </c>
      <c r="K94" s="10"/>
      <c r="L94" s="16" t="e">
        <f>J94/H94</f>
        <v>#REF!</v>
      </c>
      <c r="M94" s="10"/>
      <c r="N94" s="16">
        <f>$F$1</f>
        <v>1</v>
      </c>
      <c r="O94" s="8"/>
      <c r="P94" s="46" t="e">
        <f>COUNTIFS(tbl_cleaning[Housing Team],"HOUSING NORTH TEAM 2",#REF!,3)+COUNTIFS(tbl_cleaning[Housing Team],"HOUSING NORTH TEAM 2",#REF!,4)</f>
        <v>#REF!</v>
      </c>
      <c r="Q94" s="10"/>
      <c r="R94" s="16">
        <f t="shared" ref="R94:R97" si="38">IFERROR(P94/J94,0)</f>
        <v>0</v>
      </c>
      <c r="S94" s="10"/>
      <c r="T94" s="40">
        <f t="shared" ref="T94:T97" si="39">$Q$1</f>
        <v>0.9</v>
      </c>
      <c r="U94" s="8"/>
    </row>
    <row r="95" spans="1:21" ht="15.75" customHeight="1" x14ac:dyDescent="0.25">
      <c r="A95" s="515"/>
      <c r="B95" s="504" t="s">
        <v>11</v>
      </c>
      <c r="C95" s="504"/>
      <c r="D95" s="504"/>
      <c r="E95" s="504"/>
      <c r="F95" s="504"/>
      <c r="H95" s="46" t="e">
        <f>COUNTIFS(tbl_cleaning[Housing Team],"HOUSING NORTH TEAM 2",#REF!,"&lt;&gt;NV")</f>
        <v>#REF!</v>
      </c>
      <c r="I95" s="10"/>
      <c r="J95" s="46" t="e" cm="1">
        <f t="array" ref="J95">SUM(COUNTIFS(tbl_cleaning[Housing Team],"HOUSING NORTH TEAM 2",#REF!,{"1","2","3","4"}))</f>
        <v>#REF!</v>
      </c>
      <c r="K95" s="10"/>
      <c r="L95" s="16" t="e">
        <f>J95/H95</f>
        <v>#REF!</v>
      </c>
      <c r="M95" s="10"/>
      <c r="N95" s="16">
        <f>$F$1</f>
        <v>1</v>
      </c>
      <c r="O95" s="8"/>
      <c r="P95" s="46" t="e">
        <f>COUNTIFS(tbl_cleaning[Housing Team],"HOUSING NORTH TEAM 2",#REF!,3)+COUNTIFS(tbl_cleaning[Housing Team],"HOUSING NORTH TEAM 2",#REF!,4)</f>
        <v>#REF!</v>
      </c>
      <c r="Q95" s="10"/>
      <c r="R95" s="16">
        <f t="shared" si="38"/>
        <v>0</v>
      </c>
      <c r="S95" s="10"/>
      <c r="T95" s="40">
        <f t="shared" si="39"/>
        <v>0.9</v>
      </c>
      <c r="U95" s="8"/>
    </row>
    <row r="96" spans="1:21" ht="15.75" customHeight="1" x14ac:dyDescent="0.25">
      <c r="A96" s="515"/>
      <c r="B96" s="504" t="s">
        <v>12</v>
      </c>
      <c r="C96" s="504"/>
      <c r="D96" s="504"/>
      <c r="E96" s="504"/>
      <c r="F96" s="504"/>
      <c r="H96" s="46" t="e">
        <f>COUNTIFS(#REF!,"HOUSING NORTH TEAM 2",#REF!,"&lt;&gt;NV")</f>
        <v>#REF!</v>
      </c>
      <c r="I96" s="10"/>
      <c r="J96" s="46" t="e">
        <f t="array" ref="J96">SUM(COUNTIFS(#REF!,"HOUSING NORTH TEAM 2",#REF!,{"1","2","3","4"}))</f>
        <v>#REF!</v>
      </c>
      <c r="K96" s="10"/>
      <c r="L96" s="16" t="e">
        <f>J96/H96</f>
        <v>#REF!</v>
      </c>
      <c r="M96" s="10"/>
      <c r="N96" s="16">
        <f>$F$1</f>
        <v>1</v>
      </c>
      <c r="O96" s="8"/>
      <c r="P96" s="46" t="e">
        <f>COUNTIFS(#REF!,"HOUSING NORTH TEAM 2",#REF!,3)+COUNTIFS(#REF!,"HOUSING NORTH TEAM 2",#REF!,4)</f>
        <v>#REF!</v>
      </c>
      <c r="Q96" s="10"/>
      <c r="R96" s="16">
        <f t="shared" si="38"/>
        <v>0</v>
      </c>
      <c r="S96" s="10"/>
      <c r="T96" s="40">
        <f t="shared" si="39"/>
        <v>0.9</v>
      </c>
      <c r="U96" s="8"/>
    </row>
    <row r="97" spans="1:21" ht="15.75" customHeight="1" x14ac:dyDescent="0.25">
      <c r="A97" s="516"/>
      <c r="B97" s="504" t="s">
        <v>13</v>
      </c>
      <c r="C97" s="504"/>
      <c r="D97" s="504"/>
      <c r="E97" s="504"/>
      <c r="F97" s="504"/>
      <c r="H97" s="46" t="e">
        <f>H94+H95+H96</f>
        <v>#REF!</v>
      </c>
      <c r="I97" s="10"/>
      <c r="J97" s="46" t="e">
        <f>SUM(J94:J96)</f>
        <v>#REF!</v>
      </c>
      <c r="K97" s="10"/>
      <c r="L97" s="16" t="e">
        <f>J97/H97</f>
        <v>#REF!</v>
      </c>
      <c r="M97" s="10"/>
      <c r="N97" s="16">
        <f>$F$1</f>
        <v>1</v>
      </c>
      <c r="O97" s="8"/>
      <c r="P97" s="46" t="e">
        <f>SUM(P94:P96)</f>
        <v>#REF!</v>
      </c>
      <c r="Q97" s="10"/>
      <c r="R97" s="16">
        <f t="shared" si="38"/>
        <v>0</v>
      </c>
      <c r="S97" s="10"/>
      <c r="T97" s="40">
        <f t="shared" si="39"/>
        <v>0.9</v>
      </c>
      <c r="U97" s="8"/>
    </row>
    <row r="98" spans="1:21" ht="15.75" customHeight="1" x14ac:dyDescent="0.25">
      <c r="H98"/>
      <c r="J98"/>
      <c r="P98"/>
    </row>
    <row r="99" spans="1:21" ht="15.75" customHeight="1" x14ac:dyDescent="0.25">
      <c r="A99" s="514" t="s">
        <v>1380</v>
      </c>
      <c r="B99" s="504" t="s">
        <v>10</v>
      </c>
      <c r="C99" s="504"/>
      <c r="D99" s="504"/>
      <c r="E99" s="504"/>
      <c r="F99" s="504"/>
      <c r="H99" s="46" t="e">
        <f>COUNTIFS(tbl_cleaning[Housing Team],"HOUSING NORTH TEAM 3",#REF!,"&lt;&gt;NV")</f>
        <v>#REF!</v>
      </c>
      <c r="I99" s="10"/>
      <c r="J99" s="46" t="e" cm="1">
        <f t="array" ref="J99">SUM(COUNTIFS(tbl_cleaning[Housing Team],"HOUSING NORTH TEAM 3",#REF!,{"1","2","3","4"}))</f>
        <v>#REF!</v>
      </c>
      <c r="K99" s="10"/>
      <c r="L99" s="16" t="e">
        <f>J99/H99</f>
        <v>#REF!</v>
      </c>
      <c r="M99" s="10"/>
      <c r="N99" s="16">
        <f>$F$1</f>
        <v>1</v>
      </c>
      <c r="O99" s="8"/>
      <c r="P99" s="46" t="e">
        <f>COUNTIFS(tbl_cleaning[Housing Team],"HOUSING NORTH TEAM 3",#REF!,3)+COUNTIFS(tbl_cleaning[Housing Team],"HOUSING NORTH TEAM 3",#REF!,4)</f>
        <v>#REF!</v>
      </c>
      <c r="Q99" s="10"/>
      <c r="R99" s="16">
        <f t="shared" ref="R99:R102" si="40">IFERROR(P99/J99,0)</f>
        <v>0</v>
      </c>
      <c r="S99" s="10"/>
      <c r="T99" s="40">
        <f t="shared" ref="T99:T102" si="41">$Q$1</f>
        <v>0.9</v>
      </c>
      <c r="U99" s="8"/>
    </row>
    <row r="100" spans="1:21" ht="15.75" customHeight="1" x14ac:dyDescent="0.25">
      <c r="A100" s="515"/>
      <c r="B100" s="504" t="s">
        <v>11</v>
      </c>
      <c r="C100" s="504"/>
      <c r="D100" s="504"/>
      <c r="E100" s="504"/>
      <c r="F100" s="504"/>
      <c r="H100" s="46" t="e">
        <f>COUNTIFS(tbl_cleaning[Housing Team],"HOUSING NORTH TEAM 3",#REF!,"&lt;&gt;NV")</f>
        <v>#REF!</v>
      </c>
      <c r="I100" s="10"/>
      <c r="J100" s="46" t="e" cm="1">
        <f t="array" ref="J100">SUM(COUNTIFS(tbl_cleaning[Housing Team],"HOUSING NORTH TEAM 3",#REF!,{"1","2","3","4"}))</f>
        <v>#REF!</v>
      </c>
      <c r="K100" s="10"/>
      <c r="L100" s="16" t="e">
        <f>J100/H100</f>
        <v>#REF!</v>
      </c>
      <c r="M100" s="10"/>
      <c r="N100" s="16">
        <f>$F$1</f>
        <v>1</v>
      </c>
      <c r="O100" s="8"/>
      <c r="P100" s="46" t="e">
        <f>COUNTIFS(tbl_cleaning[Housing Team],"HOUSING NORTH TEAM 3",#REF!,3)+COUNTIFS(tbl_cleaning[Housing Team],"HOUSING NORTH TEAM 3",#REF!,4)</f>
        <v>#REF!</v>
      </c>
      <c r="Q100" s="10"/>
      <c r="R100" s="16">
        <f t="shared" si="40"/>
        <v>0</v>
      </c>
      <c r="S100" s="10"/>
      <c r="T100" s="40">
        <f t="shared" si="41"/>
        <v>0.9</v>
      </c>
      <c r="U100" s="8"/>
    </row>
    <row r="101" spans="1:21" ht="15.75" customHeight="1" x14ac:dyDescent="0.25">
      <c r="A101" s="515"/>
      <c r="B101" s="504" t="s">
        <v>12</v>
      </c>
      <c r="C101" s="504"/>
      <c r="D101" s="504"/>
      <c r="E101" s="504"/>
      <c r="F101" s="504"/>
      <c r="H101" s="46" t="e">
        <f>COUNTIFS(#REF!,"HOUSING NORTH TEAM 3",#REF!,"&lt;&gt;NV")</f>
        <v>#REF!</v>
      </c>
      <c r="I101" s="10"/>
      <c r="J101" s="46" t="e">
        <f t="array" ref="J101">SUM(COUNTIFS(#REF!,"HOUSING NORTH TEAM 3",#REF!,{"1","2","3","4"}))</f>
        <v>#REF!</v>
      </c>
      <c r="K101" s="10"/>
      <c r="L101" s="16" t="e">
        <f>J101/H101</f>
        <v>#REF!</v>
      </c>
      <c r="M101" s="10"/>
      <c r="N101" s="16">
        <f>$F$1</f>
        <v>1</v>
      </c>
      <c r="O101" s="8"/>
      <c r="P101" s="46" t="e">
        <f>COUNTIFS(#REF!,"HOUSING NORTH TEAM 3",#REF!,3)+COUNTIFS(#REF!,"HOUSING NORTH TEAM 3",#REF!,4)</f>
        <v>#REF!</v>
      </c>
      <c r="Q101" s="10"/>
      <c r="R101" s="16">
        <f t="shared" si="40"/>
        <v>0</v>
      </c>
      <c r="S101" s="10"/>
      <c r="T101" s="40">
        <f t="shared" si="41"/>
        <v>0.9</v>
      </c>
      <c r="U101" s="8"/>
    </row>
    <row r="102" spans="1:21" ht="15.75" customHeight="1" x14ac:dyDescent="0.25">
      <c r="A102" s="516"/>
      <c r="B102" s="504" t="s">
        <v>13</v>
      </c>
      <c r="C102" s="504"/>
      <c r="D102" s="504"/>
      <c r="E102" s="504"/>
      <c r="F102" s="504"/>
      <c r="H102" s="46" t="e">
        <f>H99+H100+H101</f>
        <v>#REF!</v>
      </c>
      <c r="I102" s="10"/>
      <c r="J102" s="46" t="e">
        <f>SUM(J99:J101)</f>
        <v>#REF!</v>
      </c>
      <c r="K102" s="10"/>
      <c r="L102" s="16" t="e">
        <f>J102/H102</f>
        <v>#REF!</v>
      </c>
      <c r="M102" s="10"/>
      <c r="N102" s="16">
        <f>$F$1</f>
        <v>1</v>
      </c>
      <c r="O102" s="8"/>
      <c r="P102" s="46" t="e">
        <f>SUM(P99:P101)</f>
        <v>#REF!</v>
      </c>
      <c r="Q102" s="10"/>
      <c r="R102" s="16">
        <f t="shared" si="40"/>
        <v>0</v>
      </c>
      <c r="S102" s="10"/>
      <c r="T102" s="40">
        <f t="shared" si="41"/>
        <v>0.9</v>
      </c>
      <c r="U102" s="8"/>
    </row>
    <row r="103" spans="1:21" ht="15.75" customHeight="1" x14ac:dyDescent="0.25">
      <c r="H103"/>
      <c r="J103"/>
      <c r="P103"/>
    </row>
    <row r="104" spans="1:21" ht="15.75" customHeight="1" x14ac:dyDescent="0.25">
      <c r="A104" s="514" t="s">
        <v>1364</v>
      </c>
      <c r="B104" s="504" t="s">
        <v>10</v>
      </c>
      <c r="C104" s="504"/>
      <c r="D104" s="504"/>
      <c r="E104" s="504"/>
      <c r="F104" s="504"/>
      <c r="H104" s="46" t="e">
        <f>COUNTIFS(tbl_cleaning[Housing Team],"HOUSING NORTH TEAM 4",#REF!,"&lt;&gt;NV")</f>
        <v>#REF!</v>
      </c>
      <c r="I104" s="10"/>
      <c r="J104" s="46" t="e" cm="1">
        <f t="array" ref="J104">SUM(COUNTIFS(tbl_cleaning[Housing Team],"HOUSING NORTH TEAM 4",#REF!,{"1","2","3","4"}))</f>
        <v>#REF!</v>
      </c>
      <c r="K104" s="10"/>
      <c r="L104" s="16" t="e">
        <f>J104/H104</f>
        <v>#REF!</v>
      </c>
      <c r="M104" s="10"/>
      <c r="N104" s="16">
        <f>$F$1</f>
        <v>1</v>
      </c>
      <c r="O104" s="8"/>
      <c r="P104" s="46" t="e">
        <f>COUNTIFS(tbl_cleaning[Housing Team],"HOUSING NORTH TEAM 4",#REF!,3)+COUNTIFS(tbl_cleaning[Housing Team],"HOUSING NORTH TEAM 4",#REF!,4)</f>
        <v>#REF!</v>
      </c>
      <c r="Q104" s="10"/>
      <c r="R104" s="16">
        <f t="shared" ref="R104:R107" si="42">IFERROR(P104/J104,0)</f>
        <v>0</v>
      </c>
      <c r="S104" s="10"/>
      <c r="T104" s="40">
        <f t="shared" ref="T104:T107" si="43">$Q$1</f>
        <v>0.9</v>
      </c>
      <c r="U104" s="8"/>
    </row>
    <row r="105" spans="1:21" ht="15.75" customHeight="1" x14ac:dyDescent="0.25">
      <c r="A105" s="515"/>
      <c r="B105" s="504" t="s">
        <v>11</v>
      </c>
      <c r="C105" s="504"/>
      <c r="D105" s="504"/>
      <c r="E105" s="504"/>
      <c r="F105" s="504"/>
      <c r="H105" s="46" t="e">
        <f>COUNTIFS(tbl_cleaning[Housing Team],"HOUSING NORTH TEAM 4",#REF!,"&lt;&gt;NV")</f>
        <v>#REF!</v>
      </c>
      <c r="I105" s="10"/>
      <c r="J105" s="46" t="e" cm="1">
        <f t="array" ref="J105">SUM(COUNTIFS(tbl_cleaning[Housing Team],"HOUSING NORTH TEAM 4",#REF!,{"1","2","3","4"}))</f>
        <v>#REF!</v>
      </c>
      <c r="K105" s="10"/>
      <c r="L105" s="16" t="e">
        <f>J105/H105</f>
        <v>#REF!</v>
      </c>
      <c r="M105" s="10"/>
      <c r="N105" s="16">
        <f>$F$1</f>
        <v>1</v>
      </c>
      <c r="O105" s="8"/>
      <c r="P105" s="46" t="e">
        <f>COUNTIFS(tbl_cleaning[Housing Team],"HOUSING NORTH TEAM 4",#REF!,3)+COUNTIFS(tbl_cleaning[Housing Team],"HOUSING NORTH TEAM 4",#REF!,4)</f>
        <v>#REF!</v>
      </c>
      <c r="Q105" s="10"/>
      <c r="R105" s="16">
        <f t="shared" si="42"/>
        <v>0</v>
      </c>
      <c r="S105" s="10"/>
      <c r="T105" s="40">
        <f t="shared" si="43"/>
        <v>0.9</v>
      </c>
      <c r="U105" s="8"/>
    </row>
    <row r="106" spans="1:21" ht="15.75" customHeight="1" x14ac:dyDescent="0.25">
      <c r="A106" s="515"/>
      <c r="B106" s="504" t="s">
        <v>12</v>
      </c>
      <c r="C106" s="504"/>
      <c r="D106" s="504"/>
      <c r="E106" s="504"/>
      <c r="F106" s="504"/>
      <c r="H106" s="46" t="e">
        <f>COUNTIFS(#REF!,"HOUSING NORTH TEAM 4",#REF!,"&lt;&gt;NV")</f>
        <v>#REF!</v>
      </c>
      <c r="I106" s="10"/>
      <c r="J106" s="46" t="e">
        <f t="array" ref="J106">SUM(COUNTIFS(#REF!,"HOUSING NORTH TEAM 4",#REF!,{"1","2","3","4"}))</f>
        <v>#REF!</v>
      </c>
      <c r="K106" s="10"/>
      <c r="L106" s="16" t="e">
        <f>J106/H106</f>
        <v>#REF!</v>
      </c>
      <c r="M106" s="10"/>
      <c r="N106" s="16">
        <f>$F$1</f>
        <v>1</v>
      </c>
      <c r="O106" s="8"/>
      <c r="P106" s="46" t="e">
        <f>COUNTIFS(#REF!,"HOUSING NORTH TEAM 4",#REF!,3)+COUNTIFS(#REF!,"HOUSING NORTH TEAM 4",#REF!,4)</f>
        <v>#REF!</v>
      </c>
      <c r="Q106" s="10"/>
      <c r="R106" s="16">
        <f t="shared" si="42"/>
        <v>0</v>
      </c>
      <c r="S106" s="10"/>
      <c r="T106" s="40">
        <f t="shared" si="43"/>
        <v>0.9</v>
      </c>
      <c r="U106" s="8"/>
    </row>
    <row r="107" spans="1:21" ht="15.75" customHeight="1" x14ac:dyDescent="0.25">
      <c r="A107" s="516"/>
      <c r="B107" s="504" t="s">
        <v>13</v>
      </c>
      <c r="C107" s="504"/>
      <c r="D107" s="504"/>
      <c r="E107" s="504"/>
      <c r="F107" s="504"/>
      <c r="H107" s="46" t="e">
        <f>H104+H105+H106</f>
        <v>#REF!</v>
      </c>
      <c r="I107" s="10"/>
      <c r="J107" s="46" t="e">
        <f>SUM(J104:J106)</f>
        <v>#REF!</v>
      </c>
      <c r="K107" s="10"/>
      <c r="L107" s="16" t="e">
        <f>J107/H107</f>
        <v>#REF!</v>
      </c>
      <c r="M107" s="10"/>
      <c r="N107" s="16">
        <f>$F$1</f>
        <v>1</v>
      </c>
      <c r="O107" s="8"/>
      <c r="P107" s="46" t="e">
        <f>SUM(P104:P106)</f>
        <v>#REF!</v>
      </c>
      <c r="Q107" s="10"/>
      <c r="R107" s="16">
        <f t="shared" si="42"/>
        <v>0</v>
      </c>
      <c r="S107" s="10"/>
      <c r="T107" s="40">
        <f t="shared" si="43"/>
        <v>0.9</v>
      </c>
      <c r="U107" s="8"/>
    </row>
    <row r="108" spans="1:21" ht="15.75" customHeight="1" x14ac:dyDescent="0.25">
      <c r="H108"/>
      <c r="J108"/>
      <c r="P108"/>
    </row>
    <row r="109" spans="1:21" ht="15.75" customHeight="1" x14ac:dyDescent="0.25">
      <c r="A109" s="514" t="s">
        <v>1375</v>
      </c>
      <c r="B109" s="504" t="s">
        <v>10</v>
      </c>
      <c r="C109" s="504"/>
      <c r="D109" s="504"/>
      <c r="E109" s="504"/>
      <c r="F109" s="504"/>
      <c r="H109" s="46" t="e">
        <f>COUNTIFS(tbl_cleaning[Housing Team],"HOUSING NORTH TEAM 5",#REF!,"&lt;&gt;NV")</f>
        <v>#REF!</v>
      </c>
      <c r="I109" s="10"/>
      <c r="J109" s="46" t="e" cm="1">
        <f t="array" ref="J109">SUM(COUNTIFS(tbl_cleaning[Housing Team],"HOUSING NORTH TEAM 5",#REF!,{"1","2","3","4"}))</f>
        <v>#REF!</v>
      </c>
      <c r="K109" s="10"/>
      <c r="L109" s="16" t="e">
        <f>J109/H109</f>
        <v>#REF!</v>
      </c>
      <c r="M109" s="10"/>
      <c r="N109" s="16">
        <f>$F$1</f>
        <v>1</v>
      </c>
      <c r="O109" s="8"/>
      <c r="P109" s="46" t="e">
        <f>COUNTIFS(tbl_cleaning[Housing Team],"HOUSING NORTH TEAM 5",#REF!,3)+COUNTIFS(tbl_cleaning[Housing Team],"HOUSING NORTH TEAM 5",#REF!,4)</f>
        <v>#REF!</v>
      </c>
      <c r="Q109" s="10"/>
      <c r="R109" s="16">
        <f t="shared" ref="R109:R112" si="44">IFERROR(P109/J109,0)</f>
        <v>0</v>
      </c>
      <c r="S109" s="10"/>
      <c r="T109" s="40">
        <f t="shared" ref="T109:T112" si="45">$Q$1</f>
        <v>0.9</v>
      </c>
      <c r="U109" s="8"/>
    </row>
    <row r="110" spans="1:21" ht="15.75" customHeight="1" x14ac:dyDescent="0.25">
      <c r="A110" s="515"/>
      <c r="B110" s="504" t="s">
        <v>11</v>
      </c>
      <c r="C110" s="504"/>
      <c r="D110" s="504"/>
      <c r="E110" s="504"/>
      <c r="F110" s="504"/>
      <c r="H110" s="46" t="e">
        <f>COUNTIFS(tbl_cleaning[Housing Team],"HOUSING NORTH TEAM 5",#REF!,"&lt;&gt;NV")</f>
        <v>#REF!</v>
      </c>
      <c r="I110" s="10"/>
      <c r="J110" s="46" t="e" cm="1">
        <f t="array" ref="J110">SUM(COUNTIFS(tbl_cleaning[Housing Team],"HOUSING NORTH TEAM 5",#REF!,{"1","2","3","4"}))</f>
        <v>#REF!</v>
      </c>
      <c r="K110" s="10"/>
      <c r="L110" s="16" t="e">
        <f>J110/H110</f>
        <v>#REF!</v>
      </c>
      <c r="M110" s="10"/>
      <c r="N110" s="16">
        <f>$F$1</f>
        <v>1</v>
      </c>
      <c r="O110" s="8"/>
      <c r="P110" s="46" t="e">
        <f>COUNTIFS(tbl_cleaning[Housing Team],"HOUSING NORTH TEAM 5",#REF!,3)+COUNTIFS(tbl_cleaning[Housing Team],"HOUSING NORTH TEAM 5",#REF!,4)</f>
        <v>#REF!</v>
      </c>
      <c r="Q110" s="10"/>
      <c r="R110" s="16">
        <f t="shared" si="44"/>
        <v>0</v>
      </c>
      <c r="S110" s="10"/>
      <c r="T110" s="40">
        <f t="shared" si="45"/>
        <v>0.9</v>
      </c>
      <c r="U110" s="8"/>
    </row>
    <row r="111" spans="1:21" ht="15.75" customHeight="1" x14ac:dyDescent="0.25">
      <c r="A111" s="515"/>
      <c r="B111" s="504" t="s">
        <v>12</v>
      </c>
      <c r="C111" s="504"/>
      <c r="D111" s="504"/>
      <c r="E111" s="504"/>
      <c r="F111" s="504"/>
      <c r="H111" s="46" t="e">
        <f>COUNTIFS(#REF!,"HOUSING NORTH TEAM 5",#REF!,"&lt;&gt;NV")</f>
        <v>#REF!</v>
      </c>
      <c r="I111" s="10"/>
      <c r="J111" s="46" t="e">
        <f t="array" ref="J111">SUM(COUNTIFS(#REF!,"HOUSING NORTH TEAM 5",#REF!,{"1","2","3","4"}))</f>
        <v>#REF!</v>
      </c>
      <c r="K111" s="10"/>
      <c r="L111" s="16" t="e">
        <f>J111/H111</f>
        <v>#REF!</v>
      </c>
      <c r="M111" s="10"/>
      <c r="N111" s="16">
        <f>$F$1</f>
        <v>1</v>
      </c>
      <c r="O111" s="8"/>
      <c r="P111" s="46" t="e">
        <f>COUNTIFS(#REF!,"HOUSING NORTH TEAM 5",#REF!,3)+COUNTIFS(#REF!,"HOUSING NORTH TEAM 5",#REF!,4)</f>
        <v>#REF!</v>
      </c>
      <c r="Q111" s="10"/>
      <c r="R111" s="16">
        <f t="shared" si="44"/>
        <v>0</v>
      </c>
      <c r="S111" s="10"/>
      <c r="T111" s="40">
        <f t="shared" si="45"/>
        <v>0.9</v>
      </c>
      <c r="U111" s="8"/>
    </row>
    <row r="112" spans="1:21" ht="15.75" customHeight="1" x14ac:dyDescent="0.25">
      <c r="A112" s="516"/>
      <c r="B112" s="504" t="s">
        <v>13</v>
      </c>
      <c r="C112" s="504"/>
      <c r="D112" s="504"/>
      <c r="E112" s="504"/>
      <c r="F112" s="504"/>
      <c r="H112" s="46" t="e">
        <f>H109+H110+H111</f>
        <v>#REF!</v>
      </c>
      <c r="I112" s="10"/>
      <c r="J112" s="46" t="e">
        <f>SUM(J109:J111)</f>
        <v>#REF!</v>
      </c>
      <c r="K112" s="10"/>
      <c r="L112" s="16" t="e">
        <f>J112/H112</f>
        <v>#REF!</v>
      </c>
      <c r="M112" s="10"/>
      <c r="N112" s="16">
        <f>$F$1</f>
        <v>1</v>
      </c>
      <c r="O112" s="8"/>
      <c r="P112" s="46" t="e">
        <f>SUM(P109:P111)</f>
        <v>#REF!</v>
      </c>
      <c r="Q112" s="10"/>
      <c r="R112" s="16">
        <f t="shared" si="44"/>
        <v>0</v>
      </c>
      <c r="S112" s="10"/>
      <c r="T112" s="40">
        <f t="shared" si="45"/>
        <v>0.9</v>
      </c>
      <c r="U112" s="8"/>
    </row>
    <row r="113" spans="1:21" ht="15.75" customHeight="1" x14ac:dyDescent="0.25">
      <c r="H113"/>
      <c r="J113"/>
      <c r="P113"/>
    </row>
    <row r="114" spans="1:21" ht="15.75" customHeight="1" x14ac:dyDescent="0.25">
      <c r="A114" s="514" t="s">
        <v>1376</v>
      </c>
      <c r="B114" s="504" t="s">
        <v>10</v>
      </c>
      <c r="C114" s="504"/>
      <c r="D114" s="504"/>
      <c r="E114" s="504"/>
      <c r="F114" s="504"/>
      <c r="G114" t="s">
        <v>3</v>
      </c>
      <c r="H114" s="46" t="e">
        <f>COUNTIFS(tbl_cleaning[Housing Team],"HOUSING NORTH TEAM 6",#REF!,"&lt;&gt;NV")</f>
        <v>#REF!</v>
      </c>
      <c r="I114" s="10"/>
      <c r="J114" s="46" t="e" cm="1">
        <f t="array" ref="J114">SUM(COUNTIFS(tbl_cleaning[Housing Team],"HOUSING NORTH TEAM 6",#REF!,{"1","2","3","4"}))</f>
        <v>#REF!</v>
      </c>
      <c r="K114" s="10"/>
      <c r="L114" s="16" t="e">
        <f>J114/H114</f>
        <v>#REF!</v>
      </c>
      <c r="M114" s="10"/>
      <c r="N114" s="16">
        <f>$F$1</f>
        <v>1</v>
      </c>
      <c r="O114" s="8"/>
      <c r="P114" s="46" t="e">
        <f>COUNTIFS(tbl_cleaning[Housing Team],"HOUSING NORTH TEAM 6",#REF!,3)+COUNTIFS(tbl_cleaning[Housing Team],"HOUSING NORTH TEAM 6",#REF!,4)</f>
        <v>#REF!</v>
      </c>
      <c r="Q114" s="10"/>
      <c r="R114" s="16">
        <f t="shared" ref="R114:R117" si="46">IFERROR(P114/J114,0)</f>
        <v>0</v>
      </c>
      <c r="S114" s="10"/>
      <c r="T114" s="40">
        <f t="shared" ref="T114:T117" si="47">$Q$1</f>
        <v>0.9</v>
      </c>
      <c r="U114" s="8"/>
    </row>
    <row r="115" spans="1:21" ht="15.75" customHeight="1" x14ac:dyDescent="0.25">
      <c r="A115" s="515"/>
      <c r="B115" s="504" t="s">
        <v>11</v>
      </c>
      <c r="C115" s="504"/>
      <c r="D115" s="504"/>
      <c r="E115" s="504"/>
      <c r="F115" s="504"/>
      <c r="H115" s="46" t="e">
        <f>COUNTIFS(tbl_cleaning[Housing Team],"HOUSING NORTH TEAM 6",#REF!,"&lt;&gt;NV")</f>
        <v>#REF!</v>
      </c>
      <c r="I115" s="10"/>
      <c r="J115" s="46" t="e" cm="1">
        <f t="array" ref="J115">SUM(COUNTIFS(tbl_cleaning[Housing Team],"HOUSING NORTH TEAM 6",#REF!,{"1","2","3","4"}))</f>
        <v>#REF!</v>
      </c>
      <c r="K115" s="10"/>
      <c r="L115" s="16" t="e">
        <f>J115/H115</f>
        <v>#REF!</v>
      </c>
      <c r="M115" s="10"/>
      <c r="N115" s="16">
        <f>$F$1</f>
        <v>1</v>
      </c>
      <c r="O115" s="8"/>
      <c r="P115" s="46" t="e">
        <f>COUNTIFS(tbl_cleaning[Housing Team],"HOUSING NORTH TEAM 6",#REF!,3)+COUNTIFS(tbl_cleaning[Housing Team],"HOUSING NORTH TEAM 6",#REF!,4)</f>
        <v>#REF!</v>
      </c>
      <c r="Q115" s="10"/>
      <c r="R115" s="16">
        <f t="shared" si="46"/>
        <v>0</v>
      </c>
      <c r="S115" s="10"/>
      <c r="T115" s="40">
        <f t="shared" si="47"/>
        <v>0.9</v>
      </c>
      <c r="U115" s="8"/>
    </row>
    <row r="116" spans="1:21" ht="15.75" customHeight="1" x14ac:dyDescent="0.25">
      <c r="A116" s="515"/>
      <c r="B116" s="504" t="s">
        <v>12</v>
      </c>
      <c r="C116" s="504"/>
      <c r="D116" s="504"/>
      <c r="E116" s="504"/>
      <c r="F116" s="504"/>
      <c r="H116" s="46" t="e">
        <f>COUNTIFS(#REF!,"HOUSING NORTH TEAM 6",#REF!,"&lt;&gt;NV")</f>
        <v>#REF!</v>
      </c>
      <c r="I116" s="10"/>
      <c r="J116" s="46" t="e">
        <f t="array" ref="J116">SUM(COUNTIFS(#REF!,"HOUSING NORTH TEAM 6",#REF!,{"1","2","3","4"}))</f>
        <v>#REF!</v>
      </c>
      <c r="K116" s="10"/>
      <c r="L116" s="16" t="e">
        <f>J116/H116</f>
        <v>#REF!</v>
      </c>
      <c r="M116" s="10"/>
      <c r="N116" s="16">
        <f>$F$1</f>
        <v>1</v>
      </c>
      <c r="O116" s="8"/>
      <c r="P116" s="46" t="e">
        <f>COUNTIFS(#REF!,"HOUSING NORTH TEAM 6",#REF!,3)+COUNTIFS(#REF!,"HOUSING NORTH TEAM 6",#REF!,4)</f>
        <v>#REF!</v>
      </c>
      <c r="Q116" s="10"/>
      <c r="R116" s="16">
        <f t="shared" si="46"/>
        <v>0</v>
      </c>
      <c r="S116" s="10"/>
      <c r="T116" s="40">
        <f t="shared" si="47"/>
        <v>0.9</v>
      </c>
      <c r="U116" s="8"/>
    </row>
    <row r="117" spans="1:21" ht="15.75" customHeight="1" x14ac:dyDescent="0.25">
      <c r="A117" s="516"/>
      <c r="B117" s="504" t="s">
        <v>13</v>
      </c>
      <c r="C117" s="504"/>
      <c r="D117" s="504"/>
      <c r="E117" s="504"/>
      <c r="F117" s="504"/>
      <c r="H117" s="46" t="e">
        <f>H114+H115+H116</f>
        <v>#REF!</v>
      </c>
      <c r="I117" s="10"/>
      <c r="J117" s="46" t="e">
        <f>SUM(J114:J116)</f>
        <v>#REF!</v>
      </c>
      <c r="K117" s="10"/>
      <c r="L117" s="16" t="e">
        <f>J117/H117</f>
        <v>#REF!</v>
      </c>
      <c r="M117" s="10"/>
      <c r="N117" s="16">
        <f>$F$1</f>
        <v>1</v>
      </c>
      <c r="O117" s="8"/>
      <c r="P117" s="46" t="e">
        <f>SUM(P114:P116)</f>
        <v>#REF!</v>
      </c>
      <c r="Q117" s="10"/>
      <c r="R117" s="16">
        <f t="shared" si="46"/>
        <v>0</v>
      </c>
      <c r="S117" s="10"/>
      <c r="T117" s="40">
        <f t="shared" si="47"/>
        <v>0.9</v>
      </c>
      <c r="U117" s="8"/>
    </row>
    <row r="118" spans="1:21" ht="15.75" customHeight="1" x14ac:dyDescent="0.25">
      <c r="H118"/>
      <c r="J118"/>
      <c r="P118"/>
    </row>
    <row r="119" spans="1:21" ht="15.75" customHeight="1" x14ac:dyDescent="0.25">
      <c r="A119" s="514" t="s">
        <v>1381</v>
      </c>
      <c r="B119" s="504" t="s">
        <v>10</v>
      </c>
      <c r="C119" s="504"/>
      <c r="D119" s="504"/>
      <c r="E119" s="504"/>
      <c r="F119" s="504"/>
      <c r="H119" s="46" t="e">
        <f>COUNTIFS(tbl_cleaning[Housing Team],"HOUSING NORTH TEAM 7",#REF!,"&lt;&gt;NV")</f>
        <v>#REF!</v>
      </c>
      <c r="I119" s="10"/>
      <c r="J119" s="46" t="e" cm="1">
        <f t="array" ref="J119">SUM(COUNTIFS(tbl_cleaning[Housing Team],"HOUSING NORTH TEAM 7",#REF!,{"1","2","3","4"}))</f>
        <v>#REF!</v>
      </c>
      <c r="K119" s="10"/>
      <c r="L119" s="16" t="e">
        <f>J119/H119</f>
        <v>#REF!</v>
      </c>
      <c r="M119" s="10"/>
      <c r="N119" s="16">
        <f>$F$1</f>
        <v>1</v>
      </c>
      <c r="O119" s="8"/>
      <c r="P119" s="46" t="e">
        <f>COUNTIFS(tbl_cleaning[Housing Team],"HOUSING NORTH TEAM 7",#REF!,3)+COUNTIFS(tbl_cleaning[Housing Team],"HOUSING NORTH TEAM 7",#REF!,4)</f>
        <v>#REF!</v>
      </c>
      <c r="Q119" s="10"/>
      <c r="R119" s="16">
        <f t="shared" ref="R119:R122" si="48">IFERROR(P119/J119,0)</f>
        <v>0</v>
      </c>
      <c r="S119" s="10"/>
      <c r="T119" s="40">
        <f t="shared" ref="T119:T122" si="49">$Q$1</f>
        <v>0.9</v>
      </c>
      <c r="U119" s="8"/>
    </row>
    <row r="120" spans="1:21" ht="15.75" customHeight="1" x14ac:dyDescent="0.25">
      <c r="A120" s="515"/>
      <c r="B120" s="504" t="s">
        <v>11</v>
      </c>
      <c r="C120" s="504"/>
      <c r="D120" s="504"/>
      <c r="E120" s="504"/>
      <c r="F120" s="504"/>
      <c r="H120" s="46" t="e">
        <f>COUNTIFS(tbl_cleaning[Housing Team],"HOUSING NORTH TEAM 7",#REF!,"&lt;&gt;NV")</f>
        <v>#REF!</v>
      </c>
      <c r="I120" s="10"/>
      <c r="J120" s="46" t="e" cm="1">
        <f t="array" ref="J120">SUM(COUNTIFS(tbl_cleaning[Housing Team],"HOUSING NORTH TEAM 7",#REF!,{"1","2","3","4"}))</f>
        <v>#REF!</v>
      </c>
      <c r="K120" s="10"/>
      <c r="L120" s="16" t="e">
        <f>J120/H120</f>
        <v>#REF!</v>
      </c>
      <c r="M120" s="10"/>
      <c r="N120" s="16">
        <f>$F$1</f>
        <v>1</v>
      </c>
      <c r="O120" s="8"/>
      <c r="P120" s="46" t="e">
        <f>COUNTIFS(tbl_cleaning[Housing Team],"HOUSING NORTH TEAM 7",#REF!,3)+COUNTIFS(tbl_cleaning[Housing Team],"HOUSING NORTH TEAM 7",#REF!,4)</f>
        <v>#REF!</v>
      </c>
      <c r="Q120" s="10"/>
      <c r="R120" s="16">
        <f t="shared" si="48"/>
        <v>0</v>
      </c>
      <c r="S120" s="10"/>
      <c r="T120" s="40">
        <f t="shared" si="49"/>
        <v>0.9</v>
      </c>
      <c r="U120" s="8"/>
    </row>
    <row r="121" spans="1:21" ht="15.75" customHeight="1" x14ac:dyDescent="0.25">
      <c r="A121" s="515"/>
      <c r="B121" s="504" t="s">
        <v>12</v>
      </c>
      <c r="C121" s="504"/>
      <c r="D121" s="504"/>
      <c r="E121" s="504"/>
      <c r="F121" s="504"/>
      <c r="H121" s="46" t="e">
        <f>COUNTIFS(#REF!,"HOUSING NORTH TEAM 7",#REF!,"&lt;&gt;NV")</f>
        <v>#REF!</v>
      </c>
      <c r="I121" s="10"/>
      <c r="J121" s="46" t="e">
        <f t="array" ref="J121">SUM(COUNTIFS(#REF!,"HOUSING NORTH TEAM 7",#REF!,{"1","2","3","4"}))</f>
        <v>#REF!</v>
      </c>
      <c r="K121" s="10"/>
      <c r="L121" s="16" t="e">
        <f>J121/H121</f>
        <v>#REF!</v>
      </c>
      <c r="M121" s="10"/>
      <c r="N121" s="16">
        <f>$F$1</f>
        <v>1</v>
      </c>
      <c r="O121" s="8"/>
      <c r="P121" s="46" t="e">
        <f>COUNTIFS(#REF!,"HOUSING NORTH TEAM 7",#REF!,3)+COUNTIFS(#REF!,"HOUSING NORTH TEAM 7",#REF!,4)</f>
        <v>#REF!</v>
      </c>
      <c r="Q121" s="10"/>
      <c r="R121" s="16">
        <f t="shared" si="48"/>
        <v>0</v>
      </c>
      <c r="S121" s="10"/>
      <c r="T121" s="40">
        <f t="shared" si="49"/>
        <v>0.9</v>
      </c>
      <c r="U121" s="8"/>
    </row>
    <row r="122" spans="1:21" ht="15.75" customHeight="1" x14ac:dyDescent="0.25">
      <c r="A122" s="516"/>
      <c r="B122" s="504" t="s">
        <v>13</v>
      </c>
      <c r="C122" s="504"/>
      <c r="D122" s="504"/>
      <c r="E122" s="504"/>
      <c r="F122" s="504"/>
      <c r="H122" s="46" t="e">
        <f>H119+H120+H121</f>
        <v>#REF!</v>
      </c>
      <c r="I122" s="10"/>
      <c r="J122" s="46" t="e">
        <f>SUM(J119:J121)</f>
        <v>#REF!</v>
      </c>
      <c r="K122" s="10"/>
      <c r="L122" s="16" t="e">
        <f>J122/H122</f>
        <v>#REF!</v>
      </c>
      <c r="M122" s="10"/>
      <c r="N122" s="16">
        <f>$F$1</f>
        <v>1</v>
      </c>
      <c r="O122" s="8"/>
      <c r="P122" s="46" t="e">
        <f>SUM(P119:P121)</f>
        <v>#REF!</v>
      </c>
      <c r="Q122" s="10"/>
      <c r="R122" s="16">
        <f t="shared" si="48"/>
        <v>0</v>
      </c>
      <c r="S122" s="10"/>
      <c r="T122" s="40">
        <f t="shared" si="49"/>
        <v>0.9</v>
      </c>
      <c r="U122" s="8"/>
    </row>
    <row r="123" spans="1:21" ht="15.75" customHeight="1" x14ac:dyDescent="0.25">
      <c r="H123"/>
      <c r="J123"/>
      <c r="P123"/>
    </row>
    <row r="124" spans="1:21" ht="15.75" customHeight="1" x14ac:dyDescent="0.25">
      <c r="A124" s="505" t="s">
        <v>1373</v>
      </c>
      <c r="B124" s="504" t="s">
        <v>10</v>
      </c>
      <c r="C124" s="504"/>
      <c r="D124" s="504"/>
      <c r="E124" s="504"/>
      <c r="F124" s="504"/>
      <c r="G124" t="s">
        <v>3</v>
      </c>
      <c r="H124" s="46" t="e">
        <f>COUNTIFS(tbl_cleaning[Housing Team],"HOUSING SOUTH TEAM 1",#REF!,"&lt;&gt;NV")</f>
        <v>#REF!</v>
      </c>
      <c r="I124" s="10"/>
      <c r="J124" s="46" t="e" cm="1">
        <f t="array" ref="J124">SUM(COUNTIFS(tbl_cleaning[Housing Team],"HOUSING SOUTH TEAM 1",#REF!,{"1","2","3","4"}))</f>
        <v>#REF!</v>
      </c>
      <c r="K124" s="10"/>
      <c r="L124" s="16" t="e">
        <f>J124/H124</f>
        <v>#REF!</v>
      </c>
      <c r="M124" s="10"/>
      <c r="N124" s="16">
        <f>$F$1</f>
        <v>1</v>
      </c>
      <c r="O124" s="8"/>
      <c r="P124" s="46" t="e">
        <f>COUNTIFS(tbl_cleaning[Housing Team],"HOUSING SOUTH TEAM 1",#REF!,3)+COUNTIFS(tbl_cleaning[Housing Team],"HOUSING SOUTH TEAM 1",#REF!,4)</f>
        <v>#REF!</v>
      </c>
      <c r="Q124" s="10"/>
      <c r="R124" s="16">
        <f t="shared" ref="R124:R127" si="50">IFERROR(P124/J124,0)</f>
        <v>0</v>
      </c>
      <c r="S124" s="10"/>
      <c r="T124" s="40">
        <f t="shared" ref="T124:T127" si="51">$Q$1</f>
        <v>0.9</v>
      </c>
      <c r="U124" s="8"/>
    </row>
    <row r="125" spans="1:21" ht="15.75" customHeight="1" x14ac:dyDescent="0.25">
      <c r="A125" s="529"/>
      <c r="B125" s="504" t="s">
        <v>11</v>
      </c>
      <c r="C125" s="504"/>
      <c r="D125" s="504"/>
      <c r="E125" s="504"/>
      <c r="F125" s="504"/>
      <c r="H125" s="46" t="e">
        <f>COUNTIFS(tbl_cleaning[Housing Team],"HOUSING SOUTH TEAM 1",#REF!,"&lt;&gt;NV")</f>
        <v>#REF!</v>
      </c>
      <c r="I125" s="10"/>
      <c r="J125" s="46" t="e" cm="1">
        <f t="array" ref="J125">SUM(COUNTIFS(tbl_cleaning[Housing Team],"HOUSING SOUTH TEAM 1",#REF!,{"1","2","3","4"}))</f>
        <v>#REF!</v>
      </c>
      <c r="K125" s="10"/>
      <c r="L125" s="16" t="e">
        <f>J125/H125</f>
        <v>#REF!</v>
      </c>
      <c r="M125" s="10"/>
      <c r="N125" s="16">
        <f>$F$1</f>
        <v>1</v>
      </c>
      <c r="O125" s="8"/>
      <c r="P125" s="46" t="e">
        <f>COUNTIFS(tbl_cleaning[Housing Team],"HOUSING SOUTH TEAM 1",#REF!,3)+COUNTIFS(tbl_cleaning[Housing Team],"HOUSING SOUTH TEAM 1",#REF!,4)</f>
        <v>#REF!</v>
      </c>
      <c r="Q125" s="10"/>
      <c r="R125" s="16">
        <f t="shared" si="50"/>
        <v>0</v>
      </c>
      <c r="S125" s="10"/>
      <c r="T125" s="40">
        <f t="shared" si="51"/>
        <v>0.9</v>
      </c>
      <c r="U125" s="8"/>
    </row>
    <row r="126" spans="1:21" ht="15.75" customHeight="1" x14ac:dyDescent="0.25">
      <c r="A126" s="529"/>
      <c r="B126" s="504" t="s">
        <v>12</v>
      </c>
      <c r="C126" s="504"/>
      <c r="D126" s="504"/>
      <c r="E126" s="504"/>
      <c r="F126" s="504"/>
      <c r="H126" s="46" t="e">
        <f>COUNTIFS(#REF!,"HOUSING SOUTH TEAM 1",#REF!,"&lt;&gt;NV")</f>
        <v>#REF!</v>
      </c>
      <c r="I126" s="10"/>
      <c r="J126" s="46" t="e">
        <f t="array" ref="J126">SUM(COUNTIFS(#REF!,"HOUSING SOUTH TEAM 1",#REF!,{"1","2","3","4"}))</f>
        <v>#REF!</v>
      </c>
      <c r="K126" s="10"/>
      <c r="L126" s="16" t="e">
        <f>J126/H126</f>
        <v>#REF!</v>
      </c>
      <c r="M126" s="10"/>
      <c r="N126" s="16">
        <f>$F$1</f>
        <v>1</v>
      </c>
      <c r="O126" s="8"/>
      <c r="P126" s="46" t="e">
        <f>COUNTIFS(#REF!,"HOUSING SOUTH TEAM 1",#REF!,3)+COUNTIFS(#REF!,"HOUSING SOUTH TEAM 1",#REF!,4)</f>
        <v>#REF!</v>
      </c>
      <c r="Q126" s="10"/>
      <c r="R126" s="16">
        <f t="shared" si="50"/>
        <v>0</v>
      </c>
      <c r="S126" s="10"/>
      <c r="T126" s="40">
        <f t="shared" si="51"/>
        <v>0.9</v>
      </c>
      <c r="U126" s="8"/>
    </row>
    <row r="127" spans="1:21" ht="15.75" customHeight="1" x14ac:dyDescent="0.25">
      <c r="A127" s="530"/>
      <c r="B127" s="504" t="s">
        <v>13</v>
      </c>
      <c r="C127" s="504"/>
      <c r="D127" s="504"/>
      <c r="E127" s="504"/>
      <c r="F127" s="504"/>
      <c r="H127" s="46" t="e">
        <f>H124+H125+H126</f>
        <v>#REF!</v>
      </c>
      <c r="I127" s="10"/>
      <c r="J127" s="46" t="e">
        <f>SUM(J124:J126)</f>
        <v>#REF!</v>
      </c>
      <c r="K127" s="10"/>
      <c r="L127" s="16" t="e">
        <f>J127/H127</f>
        <v>#REF!</v>
      </c>
      <c r="M127" s="10"/>
      <c r="N127" s="16">
        <f>$F$1</f>
        <v>1</v>
      </c>
      <c r="O127" s="8"/>
      <c r="P127" s="46" t="e">
        <f>SUM(P124:P126)</f>
        <v>#REF!</v>
      </c>
      <c r="Q127" s="10"/>
      <c r="R127" s="16">
        <f t="shared" si="50"/>
        <v>0</v>
      </c>
      <c r="S127" s="10"/>
      <c r="T127" s="40">
        <f t="shared" si="51"/>
        <v>0.9</v>
      </c>
      <c r="U127" s="8"/>
    </row>
    <row r="128" spans="1:21" ht="15.75" customHeight="1" x14ac:dyDescent="0.25">
      <c r="H128"/>
      <c r="J128"/>
      <c r="P128"/>
    </row>
    <row r="129" spans="1:21" ht="15.75" customHeight="1" x14ac:dyDescent="0.25">
      <c r="A129" s="505" t="s">
        <v>1369</v>
      </c>
      <c r="B129" s="504" t="s">
        <v>10</v>
      </c>
      <c r="C129" s="504"/>
      <c r="D129" s="504"/>
      <c r="E129" s="504"/>
      <c r="F129" s="504"/>
      <c r="H129" s="46" t="e">
        <f>COUNTIFS(tbl_cleaning[Housing Team],"HOUSING SOUTH TEAM 2",#REF!,"&lt;&gt;NV")</f>
        <v>#REF!</v>
      </c>
      <c r="I129" s="10"/>
      <c r="J129" s="46" t="e" cm="1">
        <f t="array" ref="J129">SUM(COUNTIFS(tbl_cleaning[Housing Team],"HOUSING SOUTH TEAM 2",#REF!,{"1","2","3","4"}))</f>
        <v>#REF!</v>
      </c>
      <c r="K129" s="10"/>
      <c r="L129" s="16" t="e">
        <f>J129/H129</f>
        <v>#REF!</v>
      </c>
      <c r="M129" s="10"/>
      <c r="N129" s="16">
        <f>$F$1</f>
        <v>1</v>
      </c>
      <c r="O129" s="8"/>
      <c r="P129" s="46" t="e">
        <f>COUNTIFS(tbl_cleaning[Housing Team],"HOUSING SOUTH TEAM 2",#REF!,3)+COUNTIFS(tbl_cleaning[Housing Team],"HOUSING SOUTH TEAM 2",#REF!,4)</f>
        <v>#REF!</v>
      </c>
      <c r="Q129" s="10"/>
      <c r="R129" s="16">
        <f t="shared" ref="R129:R132" si="52">IFERROR(P129/J129,0)</f>
        <v>0</v>
      </c>
      <c r="S129" s="10"/>
      <c r="T129" s="40">
        <f t="shared" ref="T129:T137" si="53">$Q$1</f>
        <v>0.9</v>
      </c>
      <c r="U129" s="8"/>
    </row>
    <row r="130" spans="1:21" ht="15.75" customHeight="1" x14ac:dyDescent="0.25">
      <c r="A130" s="529"/>
      <c r="B130" s="504" t="s">
        <v>11</v>
      </c>
      <c r="C130" s="504"/>
      <c r="D130" s="504"/>
      <c r="E130" s="504"/>
      <c r="F130" s="504"/>
      <c r="H130" s="46" t="e">
        <f>COUNTIFS(tbl_cleaning[Housing Team],"HOUSING SOUTH TEAM 2",#REF!,"&lt;&gt;NV")</f>
        <v>#REF!</v>
      </c>
      <c r="I130" s="10"/>
      <c r="J130" s="46" t="e" cm="1">
        <f t="array" ref="J130">SUM(COUNTIFS(tbl_cleaning[Housing Team],"HOUSING SOUTH TEAM 2",#REF!,{"1","2","3","4"}))</f>
        <v>#REF!</v>
      </c>
      <c r="K130" s="10"/>
      <c r="L130" s="16" t="e">
        <f>J130/H130</f>
        <v>#REF!</v>
      </c>
      <c r="M130" s="10"/>
      <c r="N130" s="16">
        <f>$F$1</f>
        <v>1</v>
      </c>
      <c r="O130" s="8"/>
      <c r="P130" s="46" t="e">
        <f>COUNTIFS(tbl_cleaning[Housing Team],"HOUSING SOUTH TEAM 2",#REF!,3)+COUNTIFS(tbl_cleaning[Housing Team],"HOUSING SOUTH TEAM 2",#REF!,4)</f>
        <v>#REF!</v>
      </c>
      <c r="Q130" s="10"/>
      <c r="R130" s="16">
        <f t="shared" si="52"/>
        <v>0</v>
      </c>
      <c r="S130" s="10"/>
      <c r="T130" s="40">
        <f t="shared" si="53"/>
        <v>0.9</v>
      </c>
      <c r="U130" s="8"/>
    </row>
    <row r="131" spans="1:21" ht="15.75" customHeight="1" x14ac:dyDescent="0.25">
      <c r="A131" s="529"/>
      <c r="B131" s="504" t="s">
        <v>12</v>
      </c>
      <c r="C131" s="504"/>
      <c r="D131" s="504"/>
      <c r="E131" s="504"/>
      <c r="F131" s="504"/>
      <c r="H131" s="46" t="e">
        <f>COUNTIFS(#REF!,"HOUSING SOUTH TEAM 2",#REF!,"&lt;&gt;NV")</f>
        <v>#REF!</v>
      </c>
      <c r="I131" s="10"/>
      <c r="J131" s="46" t="e">
        <f t="array" ref="J131">SUM(COUNTIFS(#REF!,"HOUSING SOUTH TEAM 2",#REF!,{"1","2","3","4"}))</f>
        <v>#REF!</v>
      </c>
      <c r="K131" s="10"/>
      <c r="L131" s="16" t="e">
        <f>J131/H131</f>
        <v>#REF!</v>
      </c>
      <c r="M131" s="10"/>
      <c r="N131" s="16">
        <f>$F$1</f>
        <v>1</v>
      </c>
      <c r="O131" s="8"/>
      <c r="P131" s="46" t="e">
        <f>COUNTIFS(#REF!,"HOUSING SOUTH TEAM 2",#REF!,3)+COUNTIFS(#REF!,"HOUSING SOUTH TEAM 2",#REF!,4)</f>
        <v>#REF!</v>
      </c>
      <c r="Q131" s="10"/>
      <c r="R131" s="16">
        <f t="shared" si="52"/>
        <v>0</v>
      </c>
      <c r="S131" s="10"/>
      <c r="T131" s="40">
        <f t="shared" si="53"/>
        <v>0.9</v>
      </c>
      <c r="U131" s="8"/>
    </row>
    <row r="132" spans="1:21" ht="15.75" customHeight="1" x14ac:dyDescent="0.25">
      <c r="A132" s="530"/>
      <c r="B132" s="504" t="s">
        <v>13</v>
      </c>
      <c r="C132" s="504"/>
      <c r="D132" s="504"/>
      <c r="E132" s="504"/>
      <c r="F132" s="504"/>
      <c r="H132" s="46" t="e">
        <f>H129+H130+H131</f>
        <v>#REF!</v>
      </c>
      <c r="I132" s="10"/>
      <c r="J132" s="46" t="e">
        <f>SUM(J129:J131)</f>
        <v>#REF!</v>
      </c>
      <c r="K132" s="10"/>
      <c r="L132" s="16" t="e">
        <f>J132/H132</f>
        <v>#REF!</v>
      </c>
      <c r="M132" s="10"/>
      <c r="N132" s="16">
        <f>$F$1</f>
        <v>1</v>
      </c>
      <c r="O132" s="8"/>
      <c r="P132" s="46" t="e">
        <f>SUM(P129:P131)</f>
        <v>#REF!</v>
      </c>
      <c r="Q132" s="10"/>
      <c r="R132" s="16">
        <f t="shared" si="52"/>
        <v>0</v>
      </c>
      <c r="S132" s="10"/>
      <c r="T132" s="40">
        <f t="shared" si="53"/>
        <v>0.9</v>
      </c>
      <c r="U132" s="8"/>
    </row>
    <row r="133" spans="1:21" ht="15.75" customHeight="1" x14ac:dyDescent="0.25">
      <c r="H133"/>
      <c r="J133"/>
      <c r="P133"/>
    </row>
    <row r="134" spans="1:21" ht="15.75" customHeight="1" x14ac:dyDescent="0.25">
      <c r="A134" s="510" t="s">
        <v>1389</v>
      </c>
      <c r="B134" s="504" t="s">
        <v>10</v>
      </c>
      <c r="C134" s="504"/>
      <c r="D134" s="504"/>
      <c r="E134" s="504"/>
      <c r="F134" s="504"/>
      <c r="H134" s="46" t="e">
        <f>COUNTIFS(tbl_cleaning[Housing Team],"HOUSING SOUTH TEAM 2",#REF!,"&lt;&gt;NV")</f>
        <v>#REF!</v>
      </c>
      <c r="I134" s="10"/>
      <c r="J134" s="46" t="e" cm="1">
        <f t="array" ref="J134">SUM(COUNTIFS(tbl_cleaning[Housing Team],"WOODBERRY DOWN TEAM",#REF!,{"1","2","3","4"}))</f>
        <v>#REF!</v>
      </c>
      <c r="K134" s="10"/>
      <c r="L134" s="16" t="e">
        <f>J134/H134</f>
        <v>#REF!</v>
      </c>
      <c r="M134" s="10"/>
      <c r="N134" s="16">
        <f>$F$1</f>
        <v>1</v>
      </c>
      <c r="O134" s="8"/>
      <c r="P134" s="46" t="e">
        <f>COUNTIFS(tbl_cleaning[Housing Team],"WOODBERRY DOWN TEAM",#REF!,3)+COUNTIFS(tbl_cleaning[Housing Team],"WOODBERRY DOWN TEAM",#REF!,4)</f>
        <v>#REF!</v>
      </c>
      <c r="Q134" s="10"/>
      <c r="R134" s="16">
        <f t="shared" ref="R134:R137" si="54">IFERROR(P134/J134,0)</f>
        <v>0</v>
      </c>
      <c r="S134" s="10"/>
      <c r="T134" s="40">
        <f t="shared" si="53"/>
        <v>0.9</v>
      </c>
    </row>
    <row r="135" spans="1:21" ht="15.75" customHeight="1" x14ac:dyDescent="0.25">
      <c r="A135" s="512"/>
      <c r="B135" s="504" t="s">
        <v>11</v>
      </c>
      <c r="C135" s="504"/>
      <c r="D135" s="504"/>
      <c r="E135" s="504"/>
      <c r="F135" s="504"/>
      <c r="H135" s="46" t="e">
        <f>COUNTIFS(tbl_cleaning[Housing Team],"HOUSING SOUTH TEAM 2",#REF!,"&lt;&gt;NV")</f>
        <v>#REF!</v>
      </c>
      <c r="I135" s="10"/>
      <c r="J135" s="46" t="e" cm="1">
        <f t="array" ref="J135">SUM(COUNTIFS(tbl_cleaning[Housing Team],"WOODBERRY DOWN TEAM",#REF!,{"1","2","3","4"}))</f>
        <v>#REF!</v>
      </c>
      <c r="K135" s="10"/>
      <c r="L135" s="16" t="e">
        <f>J135/H135</f>
        <v>#REF!</v>
      </c>
      <c r="M135" s="10"/>
      <c r="N135" s="16">
        <f>$F$1</f>
        <v>1</v>
      </c>
      <c r="O135" s="8"/>
      <c r="P135" s="46" t="e">
        <f>COUNTIFS(tbl_cleaning[Housing Team],"WOODBERRY DOWN TEAM",#REF!,3)+COUNTIFS(tbl_cleaning[Housing Team],"WOODBERRY DOWN TEAM",#REF!,4)</f>
        <v>#REF!</v>
      </c>
      <c r="Q135" s="10"/>
      <c r="R135" s="16">
        <f t="shared" si="54"/>
        <v>0</v>
      </c>
      <c r="S135" s="10"/>
      <c r="T135" s="40">
        <f t="shared" si="53"/>
        <v>0.9</v>
      </c>
    </row>
    <row r="136" spans="1:21" ht="15.75" customHeight="1" x14ac:dyDescent="0.25">
      <c r="A136" s="512"/>
      <c r="B136" s="504" t="s">
        <v>12</v>
      </c>
      <c r="C136" s="504"/>
      <c r="D136" s="504"/>
      <c r="E136" s="504"/>
      <c r="F136" s="504"/>
      <c r="H136" s="46" t="e">
        <f>COUNTIFS(#REF!,"HOUSING SOUTH TEAM 2",#REF!,"&lt;&gt;NV")</f>
        <v>#REF!</v>
      </c>
      <c r="I136" s="10"/>
      <c r="J136" s="46" t="e" cm="1">
        <f t="array" ref="J136">SUM(COUNTIFS(#REF!,"WOODBERRY DOWN TEAM",#REF!,{"1","2","3","4"}))</f>
        <v>#REF!</v>
      </c>
      <c r="K136" s="10"/>
      <c r="L136" s="16" t="e">
        <f>J136/H136</f>
        <v>#REF!</v>
      </c>
      <c r="M136" s="10"/>
      <c r="N136" s="16">
        <f>$F$1</f>
        <v>1</v>
      </c>
      <c r="O136" s="8"/>
      <c r="P136" s="46" t="e">
        <f>COUNTIFS(#REF!,"WOODBERRY DOWN TEAM",#REF!,3)+COUNTIFS(#REF!,"WOODBERRY DOWN TEAM",#REF!,4)</f>
        <v>#REF!</v>
      </c>
      <c r="Q136" s="10"/>
      <c r="R136" s="16">
        <f t="shared" si="54"/>
        <v>0</v>
      </c>
      <c r="S136" s="10"/>
      <c r="T136" s="40">
        <f t="shared" si="53"/>
        <v>0.9</v>
      </c>
    </row>
    <row r="137" spans="1:21" ht="15.75" customHeight="1" x14ac:dyDescent="0.25">
      <c r="A137" s="513"/>
      <c r="B137" s="504" t="s">
        <v>13</v>
      </c>
      <c r="C137" s="504"/>
      <c r="D137" s="504"/>
      <c r="E137" s="504"/>
      <c r="F137" s="504"/>
      <c r="H137" s="46" t="e">
        <f>H134+H135+H136</f>
        <v>#REF!</v>
      </c>
      <c r="I137" s="10"/>
      <c r="J137" s="46" t="e">
        <f>SUM(J134:J136)</f>
        <v>#REF!</v>
      </c>
      <c r="K137" s="10"/>
      <c r="L137" s="16" t="e">
        <f>J137/H137</f>
        <v>#REF!</v>
      </c>
      <c r="M137" s="10"/>
      <c r="N137" s="16">
        <f>$F$1</f>
        <v>1</v>
      </c>
      <c r="O137" s="8"/>
      <c r="P137" s="46" t="e">
        <f>SUM(P134:P136)</f>
        <v>#REF!</v>
      </c>
      <c r="Q137" s="10"/>
      <c r="R137" s="16">
        <f t="shared" si="54"/>
        <v>0</v>
      </c>
      <c r="S137" s="10"/>
      <c r="T137" s="40">
        <f t="shared" si="53"/>
        <v>0.9</v>
      </c>
    </row>
    <row r="138" spans="1:21" ht="15.75" customHeight="1" thickBot="1" x14ac:dyDescent="0.3">
      <c r="H138"/>
      <c r="J138"/>
      <c r="P138"/>
    </row>
    <row r="139" spans="1:21" ht="15.75" customHeight="1" x14ac:dyDescent="0.25">
      <c r="A139" s="517" t="s">
        <v>39</v>
      </c>
      <c r="B139" s="50" t="s">
        <v>10</v>
      </c>
      <c r="C139" s="50"/>
      <c r="D139" s="50"/>
      <c r="E139" s="50"/>
      <c r="F139" s="51"/>
      <c r="G139" s="15"/>
      <c r="H139" s="46" t="e">
        <f>SUM(H4+H9+H19+H24+H29+H34+H39+H49)</f>
        <v>#REF!</v>
      </c>
      <c r="I139" s="10"/>
      <c r="J139" s="46" t="e">
        <f>SUM(J4+J9+J19+J24+J29+J34+J39+J49)</f>
        <v>#REF!</v>
      </c>
      <c r="K139" s="10"/>
      <c r="L139" s="16" t="e">
        <f>J139/H139</f>
        <v>#REF!</v>
      </c>
      <c r="M139" s="10"/>
      <c r="N139" s="16">
        <f>$F$1</f>
        <v>1</v>
      </c>
      <c r="O139" s="8"/>
      <c r="P139" s="46" t="e">
        <f>SUM(P4+P9+P19+P24+P29+P34+P39+P49)</f>
        <v>#REF!</v>
      </c>
      <c r="Q139" s="10"/>
      <c r="R139" s="16">
        <f t="shared" ref="R139:R142" si="55">IFERROR(P139/J139,0)</f>
        <v>0</v>
      </c>
      <c r="S139" s="10"/>
      <c r="T139" s="40">
        <f t="shared" ref="T139:T157" si="56">$Q$1</f>
        <v>0.9</v>
      </c>
      <c r="U139" s="8"/>
    </row>
    <row r="140" spans="1:21" ht="15.75" customHeight="1" x14ac:dyDescent="0.25">
      <c r="A140" s="518"/>
      <c r="B140" s="50" t="s">
        <v>11</v>
      </c>
      <c r="C140" s="50"/>
      <c r="D140" s="50"/>
      <c r="E140" s="50"/>
      <c r="F140" s="51"/>
      <c r="G140" s="15"/>
      <c r="H140" s="46" t="e">
        <f>SUM(H5+H10+H20+H25+H30+H35+H40+H50)</f>
        <v>#REF!</v>
      </c>
      <c r="I140" s="10"/>
      <c r="J140" s="46" t="e">
        <f>SUM(J5+J10+J20+J25+J30+J35+J40+J50)</f>
        <v>#REF!</v>
      </c>
      <c r="K140" s="10"/>
      <c r="L140" s="16" t="e">
        <f>J140/H140</f>
        <v>#REF!</v>
      </c>
      <c r="M140" s="10"/>
      <c r="N140" s="16">
        <f>$F$1</f>
        <v>1</v>
      </c>
      <c r="O140" s="8"/>
      <c r="P140" s="46" t="e">
        <f>SUM(P5+P10+P20+P25+P30+P35+P40+P50)</f>
        <v>#REF!</v>
      </c>
      <c r="Q140" s="10"/>
      <c r="R140" s="16">
        <f t="shared" si="55"/>
        <v>0</v>
      </c>
      <c r="S140" s="10"/>
      <c r="T140" s="40">
        <f t="shared" si="56"/>
        <v>0.9</v>
      </c>
      <c r="U140" s="8"/>
    </row>
    <row r="141" spans="1:21" ht="15.75" customHeight="1" x14ac:dyDescent="0.25">
      <c r="A141" s="518"/>
      <c r="B141" s="50" t="s">
        <v>12</v>
      </c>
      <c r="C141" s="50"/>
      <c r="D141" s="50"/>
      <c r="E141" s="50"/>
      <c r="F141" s="51"/>
      <c r="G141" s="15"/>
      <c r="H141" s="46" t="e">
        <f>SUM(H6+H11+H21+H26+H31+H36+H41+H51)</f>
        <v>#REF!</v>
      </c>
      <c r="I141" s="10"/>
      <c r="J141" s="46" t="e">
        <f>SUM(J6+J11+J21+J26+J31+J36+J41+J51)</f>
        <v>#REF!</v>
      </c>
      <c r="K141" s="10"/>
      <c r="L141" s="16" t="e">
        <f>J141/H141</f>
        <v>#REF!</v>
      </c>
      <c r="M141" s="10"/>
      <c r="N141" s="16">
        <f>$F$1</f>
        <v>1</v>
      </c>
      <c r="O141" s="8"/>
      <c r="P141" s="46" t="e">
        <f>SUM(P6+P11+P21+P26+P31+P36+P41+P51)</f>
        <v>#REF!</v>
      </c>
      <c r="Q141" s="10"/>
      <c r="R141" s="16">
        <f t="shared" si="55"/>
        <v>0</v>
      </c>
      <c r="S141" s="10"/>
      <c r="T141" s="40">
        <f t="shared" si="56"/>
        <v>0.9</v>
      </c>
      <c r="U141" s="8"/>
    </row>
    <row r="142" spans="1:21" ht="15.75" customHeight="1" thickBot="1" x14ac:dyDescent="0.3">
      <c r="A142" s="519"/>
      <c r="B142" s="50" t="s">
        <v>13</v>
      </c>
      <c r="C142" s="50"/>
      <c r="D142" s="50"/>
      <c r="E142" s="50"/>
      <c r="F142" s="51"/>
      <c r="G142" s="8"/>
      <c r="H142" s="46" t="e">
        <f>SUM(H139+H140+H141)</f>
        <v>#REF!</v>
      </c>
      <c r="I142" s="10"/>
      <c r="J142" s="46" t="e">
        <f>SUM(J7+J12+J22+J27+J32+J37+J42+J52)</f>
        <v>#REF!</v>
      </c>
      <c r="K142" s="10"/>
      <c r="L142" s="16" t="e">
        <f>J142/H142</f>
        <v>#REF!</v>
      </c>
      <c r="M142" s="10"/>
      <c r="N142" s="16">
        <f>$F$1</f>
        <v>1</v>
      </c>
      <c r="O142" s="8"/>
      <c r="P142" s="46" t="e">
        <f>SUM(P7+P12+P22+P27+P32+P37+P42+P52)</f>
        <v>#REF!</v>
      </c>
      <c r="Q142" s="10"/>
      <c r="R142" s="16">
        <f t="shared" si="55"/>
        <v>0</v>
      </c>
      <c r="S142" s="10"/>
      <c r="T142" s="40">
        <f t="shared" si="56"/>
        <v>0.9</v>
      </c>
      <c r="U142" s="8"/>
    </row>
    <row r="143" spans="1:21" ht="15.75" customHeight="1" thickBot="1" x14ac:dyDescent="0.3">
      <c r="H143"/>
      <c r="J143"/>
      <c r="P143"/>
    </row>
    <row r="144" spans="1:21" ht="15.75" customHeight="1" x14ac:dyDescent="0.25">
      <c r="A144" s="520" t="s">
        <v>40</v>
      </c>
      <c r="B144" s="50" t="s">
        <v>10</v>
      </c>
      <c r="C144" s="50"/>
      <c r="D144" s="50"/>
      <c r="E144" s="50"/>
      <c r="F144" s="51"/>
      <c r="G144" s="15"/>
      <c r="H144" s="46" t="e">
        <f>SUM(H14+H44+H54+H124+H129)</f>
        <v>#REF!</v>
      </c>
      <c r="I144" s="10"/>
      <c r="J144" s="46" t="e">
        <f>SUM(J14+J44+J54+J124+J129+J59)</f>
        <v>#REF!</v>
      </c>
      <c r="K144" s="10"/>
      <c r="L144" s="16" t="e">
        <f>J144/H144</f>
        <v>#REF!</v>
      </c>
      <c r="M144" s="10"/>
      <c r="N144" s="16">
        <f>$F$1</f>
        <v>1</v>
      </c>
      <c r="O144" s="8"/>
      <c r="P144" s="46" t="e">
        <f>SUM(P14+P44+P54+P124+P129+P59)</f>
        <v>#REF!</v>
      </c>
      <c r="Q144" s="10"/>
      <c r="R144" s="16">
        <f t="shared" ref="R144:R147" si="57">IFERROR(P144/J144,0)</f>
        <v>0</v>
      </c>
      <c r="S144" s="10"/>
      <c r="T144" s="40">
        <f t="shared" si="56"/>
        <v>0.9</v>
      </c>
      <c r="U144" s="8"/>
    </row>
    <row r="145" spans="1:21" ht="15.75" customHeight="1" x14ac:dyDescent="0.25">
      <c r="A145" s="521"/>
      <c r="B145" s="50" t="s">
        <v>11</v>
      </c>
      <c r="C145" s="50"/>
      <c r="D145" s="50"/>
      <c r="E145" s="50"/>
      <c r="F145" s="51"/>
      <c r="G145" s="15"/>
      <c r="H145" s="46" t="e">
        <f>SUM(H15+H45+H55+H125+H130)</f>
        <v>#REF!</v>
      </c>
      <c r="I145" s="10"/>
      <c r="J145" s="46" t="e">
        <f>SUM(J15+J45+J55+J125+J130+J60)</f>
        <v>#REF!</v>
      </c>
      <c r="K145" s="10"/>
      <c r="L145" s="16" t="e">
        <f>J145/H145</f>
        <v>#REF!</v>
      </c>
      <c r="M145" s="10"/>
      <c r="N145" s="16">
        <f>$F$1</f>
        <v>1</v>
      </c>
      <c r="O145" s="8"/>
      <c r="P145" s="46" t="e">
        <f>SUM(P15+P45+P55+P125+P130+P60)</f>
        <v>#REF!</v>
      </c>
      <c r="Q145" s="10"/>
      <c r="R145" s="16">
        <f t="shared" si="57"/>
        <v>0</v>
      </c>
      <c r="S145" s="10"/>
      <c r="T145" s="40">
        <f t="shared" si="56"/>
        <v>0.9</v>
      </c>
      <c r="U145" s="8"/>
    </row>
    <row r="146" spans="1:21" ht="15.75" customHeight="1" x14ac:dyDescent="0.25">
      <c r="A146" s="521"/>
      <c r="B146" s="50" t="s">
        <v>12</v>
      </c>
      <c r="C146" s="50"/>
      <c r="D146" s="50"/>
      <c r="E146" s="50"/>
      <c r="F146" s="51"/>
      <c r="G146" s="15"/>
      <c r="H146" s="46" t="e">
        <f>SUM(H16+H46+H56+H126+H131)</f>
        <v>#REF!</v>
      </c>
      <c r="I146" s="10"/>
      <c r="J146" s="46" t="e">
        <f>SUM(J16+J46+J56+J126+J131+J61)</f>
        <v>#REF!</v>
      </c>
      <c r="K146" s="10"/>
      <c r="L146" s="16" t="e">
        <f>J146/H146</f>
        <v>#REF!</v>
      </c>
      <c r="M146" s="10"/>
      <c r="N146" s="16">
        <f>$F$1</f>
        <v>1</v>
      </c>
      <c r="O146" s="8"/>
      <c r="P146" s="46" t="e">
        <f>SUM(P16+P46+P56+P126+P131+P61)</f>
        <v>#REF!</v>
      </c>
      <c r="Q146" s="10"/>
      <c r="R146" s="16">
        <f t="shared" si="57"/>
        <v>0</v>
      </c>
      <c r="S146" s="10"/>
      <c r="T146" s="40">
        <f t="shared" si="56"/>
        <v>0.9</v>
      </c>
      <c r="U146" s="8"/>
    </row>
    <row r="147" spans="1:21" ht="15.75" customHeight="1" thickBot="1" x14ac:dyDescent="0.3">
      <c r="A147" s="522"/>
      <c r="B147" s="50" t="s">
        <v>13</v>
      </c>
      <c r="C147" s="50"/>
      <c r="D147" s="50"/>
      <c r="E147" s="50"/>
      <c r="F147" s="51"/>
      <c r="G147" s="8"/>
      <c r="H147" s="46" t="e">
        <f>SUM(H144+H145+H146)</f>
        <v>#REF!</v>
      </c>
      <c r="I147" s="10"/>
      <c r="J147" s="46" t="e">
        <f>SUM(J144+J145+J146)</f>
        <v>#REF!</v>
      </c>
      <c r="K147" s="10"/>
      <c r="L147" s="16" t="e">
        <f>J147/H147</f>
        <v>#REF!</v>
      </c>
      <c r="M147" s="10"/>
      <c r="N147" s="16">
        <f>$F$1</f>
        <v>1</v>
      </c>
      <c r="O147" s="8"/>
      <c r="P147" s="46" t="e">
        <f>SUM(P144+P145+P146)</f>
        <v>#REF!</v>
      </c>
      <c r="Q147" s="10"/>
      <c r="R147" s="16">
        <f t="shared" si="57"/>
        <v>0</v>
      </c>
      <c r="S147" s="10"/>
      <c r="T147" s="40">
        <f t="shared" si="56"/>
        <v>0.9</v>
      </c>
      <c r="U147" s="8"/>
    </row>
    <row r="148" spans="1:21" ht="15.75" thickBot="1" x14ac:dyDescent="0.3">
      <c r="H148"/>
      <c r="J148"/>
      <c r="P148"/>
    </row>
    <row r="149" spans="1:21" ht="15.75" x14ac:dyDescent="0.25">
      <c r="A149" s="523" t="s">
        <v>41</v>
      </c>
      <c r="B149" s="50" t="s">
        <v>10</v>
      </c>
      <c r="C149" s="50"/>
      <c r="D149" s="50"/>
      <c r="E149" s="50"/>
      <c r="F149" s="51"/>
      <c r="G149" s="15"/>
      <c r="H149" s="46" t="e">
        <f>SUM(H59+H69+H74+H79+H84)</f>
        <v>#REF!</v>
      </c>
      <c r="I149" s="10"/>
      <c r="J149" s="46" t="e">
        <f>SUM(J69+J74+J79+J84+J64+J134)</f>
        <v>#REF!</v>
      </c>
      <c r="K149" s="10"/>
      <c r="L149" s="16" t="e">
        <f>J149/H149</f>
        <v>#REF!</v>
      </c>
      <c r="M149" s="10"/>
      <c r="N149" s="16">
        <f>$F$1</f>
        <v>1</v>
      </c>
      <c r="O149" s="8"/>
      <c r="P149" s="46" t="e">
        <f>SUM(P59+P69+P74+P79+P84+P134)</f>
        <v>#REF!</v>
      </c>
      <c r="Q149" s="10"/>
      <c r="R149" s="16">
        <f t="shared" ref="R149:R152" si="58">IFERROR(P149/J149,0)</f>
        <v>0</v>
      </c>
      <c r="S149" s="10"/>
      <c r="T149" s="40">
        <f t="shared" si="56"/>
        <v>0.9</v>
      </c>
    </row>
    <row r="150" spans="1:21" ht="15.75" x14ac:dyDescent="0.25">
      <c r="A150" s="524"/>
      <c r="B150" s="50" t="s">
        <v>11</v>
      </c>
      <c r="C150" s="50"/>
      <c r="D150" s="50"/>
      <c r="E150" s="50"/>
      <c r="F150" s="51"/>
      <c r="G150" s="15"/>
      <c r="H150" s="46" t="e">
        <f>SUM(H60+H70+H75+H80+H85)</f>
        <v>#REF!</v>
      </c>
      <c r="I150" s="10"/>
      <c r="J150" s="46" t="e">
        <f>SUM(J70+J75+J80+J85+J65+J135)</f>
        <v>#REF!</v>
      </c>
      <c r="K150" s="10"/>
      <c r="L150" s="16" t="e">
        <f>J150/H150</f>
        <v>#REF!</v>
      </c>
      <c r="M150" s="10"/>
      <c r="N150" s="16">
        <f>$F$1</f>
        <v>1</v>
      </c>
      <c r="O150" s="8"/>
      <c r="P150" s="46" t="e">
        <f>SUM(P60+P70+P75+P80+P85+P135)</f>
        <v>#REF!</v>
      </c>
      <c r="Q150" s="10"/>
      <c r="R150" s="16">
        <f t="shared" si="58"/>
        <v>0</v>
      </c>
      <c r="S150" s="10"/>
      <c r="T150" s="40">
        <f t="shared" si="56"/>
        <v>0.9</v>
      </c>
    </row>
    <row r="151" spans="1:21" ht="15.75" x14ac:dyDescent="0.25">
      <c r="A151" s="524"/>
      <c r="B151" s="50" t="s">
        <v>12</v>
      </c>
      <c r="C151" s="50"/>
      <c r="D151" s="50"/>
      <c r="E151" s="50"/>
      <c r="F151" s="51"/>
      <c r="G151" s="15"/>
      <c r="H151" s="46" t="e">
        <f>SUM(H61+H71+H76+H81+H86)</f>
        <v>#REF!</v>
      </c>
      <c r="I151" s="10"/>
      <c r="J151" s="46" t="e">
        <f>SUM(J71+J76+J81+J86+J66+J136)</f>
        <v>#REF!</v>
      </c>
      <c r="K151" s="10"/>
      <c r="L151" s="16" t="e">
        <f>J151/H151</f>
        <v>#REF!</v>
      </c>
      <c r="M151" s="10"/>
      <c r="N151" s="16">
        <f>$F$1</f>
        <v>1</v>
      </c>
      <c r="O151" s="8"/>
      <c r="P151" s="46" t="e">
        <f>SUM(P61+P71+P76+P81+P86+P136)</f>
        <v>#REF!</v>
      </c>
      <c r="Q151" s="10"/>
      <c r="R151" s="16">
        <f t="shared" si="58"/>
        <v>0</v>
      </c>
      <c r="S151" s="10"/>
      <c r="T151" s="40">
        <f t="shared" si="56"/>
        <v>0.9</v>
      </c>
    </row>
    <row r="152" spans="1:21" ht="15.75" thickBot="1" x14ac:dyDescent="0.3">
      <c r="A152" s="525"/>
      <c r="B152" s="50" t="s">
        <v>13</v>
      </c>
      <c r="C152" s="50"/>
      <c r="D152" s="50"/>
      <c r="E152" s="50"/>
      <c r="F152" s="51"/>
      <c r="G152" s="8"/>
      <c r="H152" s="46" t="e">
        <f>SUM(H149+H150+H151)</f>
        <v>#REF!</v>
      </c>
      <c r="I152" s="10"/>
      <c r="J152" s="46" t="e">
        <f>SUM(J149+J150+J151)</f>
        <v>#REF!</v>
      </c>
      <c r="K152" s="10"/>
      <c r="L152" s="16" t="e">
        <f>J152/H152</f>
        <v>#REF!</v>
      </c>
      <c r="M152" s="10"/>
      <c r="N152" s="16">
        <f>$F$1</f>
        <v>1</v>
      </c>
      <c r="O152" s="8"/>
      <c r="P152" s="46" t="e">
        <f>SUM(P149+P150+P151)</f>
        <v>#REF!</v>
      </c>
      <c r="Q152" s="10"/>
      <c r="R152" s="16">
        <f t="shared" si="58"/>
        <v>0</v>
      </c>
      <c r="S152" s="10"/>
      <c r="T152" s="40">
        <f t="shared" si="56"/>
        <v>0.9</v>
      </c>
    </row>
    <row r="153" spans="1:21" ht="15.75" thickBot="1" x14ac:dyDescent="0.3">
      <c r="H153"/>
      <c r="J153"/>
      <c r="P153"/>
    </row>
    <row r="154" spans="1:21" ht="15.75" x14ac:dyDescent="0.25">
      <c r="A154" s="526" t="s">
        <v>42</v>
      </c>
      <c r="B154" s="50" t="s">
        <v>10</v>
      </c>
      <c r="C154" s="50"/>
      <c r="D154" s="50"/>
      <c r="E154" s="50"/>
      <c r="F154" s="51"/>
      <c r="G154" s="15"/>
      <c r="H154" s="46" t="e">
        <f>SUM(H89+H94+H99+H104+H109+H114+H119)</f>
        <v>#REF!</v>
      </c>
      <c r="I154" s="10"/>
      <c r="J154" s="46" t="e">
        <f>SUM(J89+J94+J99+J104+J109+J114+J119)</f>
        <v>#REF!</v>
      </c>
      <c r="K154" s="10"/>
      <c r="L154" s="16" t="e">
        <f>J154/H154</f>
        <v>#REF!</v>
      </c>
      <c r="M154" s="10"/>
      <c r="N154" s="16">
        <f>$F$1</f>
        <v>1</v>
      </c>
      <c r="O154" s="8"/>
      <c r="P154" s="46" t="e">
        <f>SUM(P89+P94+P99+P104+P109+P114+P119)</f>
        <v>#REF!</v>
      </c>
      <c r="Q154" s="10"/>
      <c r="R154" s="16">
        <f t="shared" ref="R154:R157" si="59">IFERROR(P154/J154,0)</f>
        <v>0</v>
      </c>
      <c r="S154" s="10"/>
      <c r="T154" s="40">
        <f t="shared" si="56"/>
        <v>0.9</v>
      </c>
    </row>
    <row r="155" spans="1:21" ht="15.75" x14ac:dyDescent="0.25">
      <c r="A155" s="527"/>
      <c r="B155" s="50" t="s">
        <v>11</v>
      </c>
      <c r="C155" s="50"/>
      <c r="D155" s="50"/>
      <c r="E155" s="50"/>
      <c r="F155" s="51"/>
      <c r="G155" s="15"/>
      <c r="H155" s="46" t="e">
        <f>SUM(H90+H95+H100+H105+H110+H115+H120)</f>
        <v>#REF!</v>
      </c>
      <c r="I155" s="10"/>
      <c r="J155" s="46" t="e">
        <f>SUM(J90+J95+J100+J105+J110+J115+J120)</f>
        <v>#REF!</v>
      </c>
      <c r="K155" s="10"/>
      <c r="L155" s="16" t="e">
        <f>J155/H155</f>
        <v>#REF!</v>
      </c>
      <c r="M155" s="10"/>
      <c r="N155" s="16">
        <f>$F$1</f>
        <v>1</v>
      </c>
      <c r="O155" s="8"/>
      <c r="P155" s="46" t="e">
        <f>SUM(P90+P95+P100+P105+P110+P115+P120)</f>
        <v>#REF!</v>
      </c>
      <c r="Q155" s="10"/>
      <c r="R155" s="16">
        <f t="shared" si="59"/>
        <v>0</v>
      </c>
      <c r="S155" s="10"/>
      <c r="T155" s="40">
        <f t="shared" si="56"/>
        <v>0.9</v>
      </c>
    </row>
    <row r="156" spans="1:21" ht="15.75" x14ac:dyDescent="0.25">
      <c r="A156" s="527"/>
      <c r="B156" s="50" t="s">
        <v>12</v>
      </c>
      <c r="C156" s="50"/>
      <c r="D156" s="50"/>
      <c r="E156" s="50"/>
      <c r="F156" s="51"/>
      <c r="G156" s="15"/>
      <c r="H156" s="46" t="e">
        <f>SUM(H91+H96+H101+H106+H111+H116+H121)</f>
        <v>#REF!</v>
      </c>
      <c r="I156" s="10"/>
      <c r="J156" s="46" t="e">
        <f>SUM(J91+J96+J101+J106+J111+J116+J121)</f>
        <v>#REF!</v>
      </c>
      <c r="K156" s="10"/>
      <c r="L156" s="16" t="e">
        <f>J156/H156</f>
        <v>#REF!</v>
      </c>
      <c r="M156" s="10"/>
      <c r="N156" s="16">
        <f>$F$1</f>
        <v>1</v>
      </c>
      <c r="O156" s="8"/>
      <c r="P156" s="46" t="e">
        <f>SUM(P91+P96+P101+P106+P111+P116+P121)</f>
        <v>#REF!</v>
      </c>
      <c r="Q156" s="10"/>
      <c r="R156" s="16">
        <f t="shared" si="59"/>
        <v>0</v>
      </c>
      <c r="S156" s="10"/>
      <c r="T156" s="40">
        <f t="shared" si="56"/>
        <v>0.9</v>
      </c>
    </row>
    <row r="157" spans="1:21" ht="15.75" thickBot="1" x14ac:dyDescent="0.3">
      <c r="A157" s="528"/>
      <c r="B157" s="50" t="s">
        <v>13</v>
      </c>
      <c r="C157" s="50"/>
      <c r="D157" s="50"/>
      <c r="E157" s="50"/>
      <c r="F157" s="51"/>
      <c r="G157" s="8"/>
      <c r="H157" s="46" t="e">
        <f>SUM(H154+H155+H156)</f>
        <v>#REF!</v>
      </c>
      <c r="I157" s="10"/>
      <c r="J157" s="46" t="e">
        <f>SUM(J154+J155+J156)</f>
        <v>#REF!</v>
      </c>
      <c r="K157" s="10"/>
      <c r="L157" s="16" t="e">
        <f>J157/H157</f>
        <v>#REF!</v>
      </c>
      <c r="M157" s="10"/>
      <c r="N157" s="16">
        <f>$F$1</f>
        <v>1</v>
      </c>
      <c r="O157" s="8"/>
      <c r="P157" s="46" t="e">
        <f>SUM(P154+P155+P156)</f>
        <v>#REF!</v>
      </c>
      <c r="Q157" s="10"/>
      <c r="R157" s="16">
        <f t="shared" si="59"/>
        <v>0</v>
      </c>
      <c r="S157" s="10"/>
      <c r="T157" s="40">
        <f t="shared" si="56"/>
        <v>0.9</v>
      </c>
    </row>
    <row r="158" spans="1:21" ht="15.75" thickBot="1" x14ac:dyDescent="0.3">
      <c r="H158"/>
      <c r="J158"/>
      <c r="P158"/>
    </row>
    <row r="159" spans="1:21" ht="29.25" customHeight="1" thickBot="1" x14ac:dyDescent="0.3">
      <c r="E159" s="149" t="s">
        <v>43</v>
      </c>
      <c r="F159" s="150"/>
      <c r="H159" s="151" t="e">
        <f>SUM(H142+H147+H153+H157)</f>
        <v>#REF!</v>
      </c>
      <c r="J159" s="151" t="e">
        <f>SUM(J142+J147+J152+J157)</f>
        <v>#REF!</v>
      </c>
      <c r="L159" s="152" t="e">
        <f>SUM(J159/H159)</f>
        <v>#REF!</v>
      </c>
      <c r="N159" s="16">
        <f>$F$1</f>
        <v>1</v>
      </c>
      <c r="P159" s="151" t="e">
        <f>SUM(P142+P147+P152+P157)</f>
        <v>#REF!</v>
      </c>
      <c r="R159" s="152">
        <f>IFERROR(P159/J159,0)</f>
        <v>0</v>
      </c>
      <c r="T159" s="153">
        <f>IFERROR(P159/J159,0)</f>
        <v>0</v>
      </c>
    </row>
  </sheetData>
  <sheetProtection sheet="1" objects="1" scenarios="1"/>
  <mergeCells count="139">
    <mergeCell ref="A4:A7"/>
    <mergeCell ref="B4:F4"/>
    <mergeCell ref="B5:F5"/>
    <mergeCell ref="B6:F6"/>
    <mergeCell ref="B7:F7"/>
    <mergeCell ref="A9:A12"/>
    <mergeCell ref="B9:F9"/>
    <mergeCell ref="B10:F10"/>
    <mergeCell ref="B11:F11"/>
    <mergeCell ref="B12:F12"/>
    <mergeCell ref="A14:A17"/>
    <mergeCell ref="B14:F14"/>
    <mergeCell ref="B15:F15"/>
    <mergeCell ref="B16:F16"/>
    <mergeCell ref="B17:F17"/>
    <mergeCell ref="A19:A22"/>
    <mergeCell ref="B19:F19"/>
    <mergeCell ref="B20:F20"/>
    <mergeCell ref="B21:F21"/>
    <mergeCell ref="B22:F22"/>
    <mergeCell ref="A24:A27"/>
    <mergeCell ref="B24:F24"/>
    <mergeCell ref="B25:F25"/>
    <mergeCell ref="B26:F26"/>
    <mergeCell ref="B27:F27"/>
    <mergeCell ref="A29:A32"/>
    <mergeCell ref="B29:F29"/>
    <mergeCell ref="B30:F30"/>
    <mergeCell ref="B31:F31"/>
    <mergeCell ref="B32:F32"/>
    <mergeCell ref="A34:A37"/>
    <mergeCell ref="B34:F34"/>
    <mergeCell ref="B35:F35"/>
    <mergeCell ref="B36:F36"/>
    <mergeCell ref="B37:F37"/>
    <mergeCell ref="A39:A42"/>
    <mergeCell ref="B39:F39"/>
    <mergeCell ref="B40:F40"/>
    <mergeCell ref="B41:F41"/>
    <mergeCell ref="B42:F42"/>
    <mergeCell ref="A44:A47"/>
    <mergeCell ref="B44:F44"/>
    <mergeCell ref="B45:F45"/>
    <mergeCell ref="B46:F46"/>
    <mergeCell ref="B47:F47"/>
    <mergeCell ref="A49:A52"/>
    <mergeCell ref="B49:F49"/>
    <mergeCell ref="B50:F50"/>
    <mergeCell ref="B51:F51"/>
    <mergeCell ref="B52:F52"/>
    <mergeCell ref="A54:A57"/>
    <mergeCell ref="B54:F54"/>
    <mergeCell ref="B55:F55"/>
    <mergeCell ref="B56:F56"/>
    <mergeCell ref="B57:F57"/>
    <mergeCell ref="A59:A62"/>
    <mergeCell ref="B59:F59"/>
    <mergeCell ref="B60:F60"/>
    <mergeCell ref="B61:F61"/>
    <mergeCell ref="B62:F62"/>
    <mergeCell ref="A64:A67"/>
    <mergeCell ref="B64:F64"/>
    <mergeCell ref="B65:F65"/>
    <mergeCell ref="B66:F66"/>
    <mergeCell ref="B67:F67"/>
    <mergeCell ref="A69:A72"/>
    <mergeCell ref="B69:F69"/>
    <mergeCell ref="B70:F70"/>
    <mergeCell ref="B71:F71"/>
    <mergeCell ref="B72:F72"/>
    <mergeCell ref="A74:A77"/>
    <mergeCell ref="B74:F74"/>
    <mergeCell ref="B75:F75"/>
    <mergeCell ref="B76:F76"/>
    <mergeCell ref="B77:F77"/>
    <mergeCell ref="A79:A82"/>
    <mergeCell ref="B79:F79"/>
    <mergeCell ref="B80:F80"/>
    <mergeCell ref="B81:F81"/>
    <mergeCell ref="B82:F82"/>
    <mergeCell ref="A84:A87"/>
    <mergeCell ref="B84:F84"/>
    <mergeCell ref="B85:F85"/>
    <mergeCell ref="B86:F86"/>
    <mergeCell ref="B87:F87"/>
    <mergeCell ref="A89:A92"/>
    <mergeCell ref="B89:F89"/>
    <mergeCell ref="B90:F90"/>
    <mergeCell ref="B91:F91"/>
    <mergeCell ref="B92:F92"/>
    <mergeCell ref="A94:A97"/>
    <mergeCell ref="B94:F94"/>
    <mergeCell ref="B95:F95"/>
    <mergeCell ref="B96:F96"/>
    <mergeCell ref="B97:F97"/>
    <mergeCell ref="A99:A102"/>
    <mergeCell ref="B99:F99"/>
    <mergeCell ref="B100:F100"/>
    <mergeCell ref="B101:F101"/>
    <mergeCell ref="B102:F102"/>
    <mergeCell ref="A104:A107"/>
    <mergeCell ref="B104:F104"/>
    <mergeCell ref="B105:F105"/>
    <mergeCell ref="B106:F106"/>
    <mergeCell ref="B107:F107"/>
    <mergeCell ref="A109:A112"/>
    <mergeCell ref="B109:F109"/>
    <mergeCell ref="B110:F110"/>
    <mergeCell ref="B111:F111"/>
    <mergeCell ref="B112:F112"/>
    <mergeCell ref="A114:A117"/>
    <mergeCell ref="B114:F114"/>
    <mergeCell ref="B115:F115"/>
    <mergeCell ref="B116:F116"/>
    <mergeCell ref="B117:F117"/>
    <mergeCell ref="A119:A122"/>
    <mergeCell ref="B119:F119"/>
    <mergeCell ref="B120:F120"/>
    <mergeCell ref="B121:F121"/>
    <mergeCell ref="B122:F122"/>
    <mergeCell ref="A124:A127"/>
    <mergeCell ref="B124:F124"/>
    <mergeCell ref="B125:F125"/>
    <mergeCell ref="B126:F126"/>
    <mergeCell ref="B127:F127"/>
    <mergeCell ref="A129:A132"/>
    <mergeCell ref="B129:F129"/>
    <mergeCell ref="B130:F130"/>
    <mergeCell ref="B131:F131"/>
    <mergeCell ref="B132:F132"/>
    <mergeCell ref="A139:A142"/>
    <mergeCell ref="A144:A147"/>
    <mergeCell ref="A149:A152"/>
    <mergeCell ref="A154:A157"/>
    <mergeCell ref="A134:A137"/>
    <mergeCell ref="B134:F134"/>
    <mergeCell ref="B135:F135"/>
    <mergeCell ref="B136:F136"/>
    <mergeCell ref="B137:F137"/>
  </mergeCells>
  <conditionalFormatting sqref="N4:N7 N9:N12 N14:N17 N19:N22 N24:N27 N29:N32 N34:N37 N39:N42 N44:N47 N49:N52 N54:N57 N59:N62 N64:N67 N69:N72 N74:N77 N79:N82 N84:N87 N89:N92 N94:N97 N99:N102 N104:N107 N109:N112 N114:N117 N119:N122 N124:N127 N129:N132 N139:N142 N144:N147 N149:N152 N154:N157 N159">
    <cfRule type="expression" dxfId="211" priority="10">
      <formula>$L4=$N4</formula>
    </cfRule>
    <cfRule type="expression" dxfId="210" priority="11">
      <formula>$L4&gt;$N4</formula>
    </cfRule>
    <cfRule type="expression" dxfId="209" priority="12">
      <formula>$L4&lt;$N4</formula>
    </cfRule>
  </conditionalFormatting>
  <conditionalFormatting sqref="T4:T7 T9:T12 T14:T17 T19:T22 T24:T27 T29:T32 T34:T37 T39:T42 T44:T47 T49:T52 T54:T57 T59:T62 T64:T67 T69:T72 T74:T77 T79:T82 T84:T87 T89:T92 T94:T97 T99:T102 T104:T107 T109:T112 T114:T117 T119:T122 T124:T127 T129:T132 T139:T142 T144:T147 T149:T152 T154:T157 T159">
    <cfRule type="expression" dxfId="208" priority="7">
      <formula>$R4=$T4</formula>
    </cfRule>
    <cfRule type="expression" dxfId="207" priority="8">
      <formula>$R4&gt;$T4</formula>
    </cfRule>
    <cfRule type="expression" dxfId="206" priority="9">
      <formula>$R4&lt;$T4</formula>
    </cfRule>
  </conditionalFormatting>
  <conditionalFormatting sqref="N134:N137">
    <cfRule type="expression" dxfId="205" priority="4">
      <formula>$L134=$N134</formula>
    </cfRule>
    <cfRule type="expression" dxfId="204" priority="5">
      <formula>$L134&gt;$N134</formula>
    </cfRule>
    <cfRule type="expression" dxfId="203" priority="6">
      <formula>$L134&lt;$N134</formula>
    </cfRule>
  </conditionalFormatting>
  <conditionalFormatting sqref="T134:T137">
    <cfRule type="expression" dxfId="202" priority="1">
      <formula>$R134=$T134</formula>
    </cfRule>
    <cfRule type="expression" dxfId="201" priority="2">
      <formula>$R134&gt;$T134</formula>
    </cfRule>
    <cfRule type="expression" dxfId="200" priority="3">
      <formula>$R134&lt;$T134</formula>
    </cfRule>
  </conditionalFormatting>
  <pageMargins left="0.7" right="0.7" top="0.75" bottom="0.75" header="0.3" footer="0.3"/>
  <pageSetup paperSize="9" scale="45" fitToWidth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883C6-F1D0-4BFC-BDF5-FF6685D26C04}">
  <sheetPr>
    <tabColor rgb="FFFF0000"/>
    <pageSetUpPr fitToPage="1"/>
  </sheetPr>
  <dimension ref="A1:AE159"/>
  <sheetViews>
    <sheetView zoomScale="120" zoomScaleNormal="120" workbookViewId="0">
      <pane ySplit="1" topLeftCell="A149" activePane="bottomLeft" state="frozen"/>
      <selection pane="bottomLeft" activeCell="H4" sqref="H4"/>
    </sheetView>
  </sheetViews>
  <sheetFormatPr defaultRowHeight="15" x14ac:dyDescent="0.25"/>
  <cols>
    <col min="1" max="1" width="28.5703125" customWidth="1"/>
    <col min="2" max="2" width="7.85546875" customWidth="1"/>
    <col min="3" max="3" width="10" customWidth="1"/>
    <col min="4" max="4" width="2.5703125" customWidth="1"/>
    <col min="5" max="5" width="7.85546875" customWidth="1"/>
    <col min="6" max="6" width="6.42578125" customWidth="1"/>
    <col min="7" max="7" width="2.140625" customWidth="1"/>
    <col min="8" max="8" width="10.42578125" style="49" customWidth="1"/>
    <col min="9" max="9" width="2.140625" customWidth="1"/>
    <col min="10" max="10" width="11" style="49" customWidth="1"/>
    <col min="11" max="11" width="2.85546875" customWidth="1"/>
    <col min="12" max="12" width="9" customWidth="1"/>
    <col min="13" max="13" width="2.140625" customWidth="1"/>
    <col min="14" max="14" width="9.140625" customWidth="1"/>
    <col min="15" max="15" width="2.140625" customWidth="1"/>
    <col min="16" max="16" width="12" style="49" customWidth="1"/>
    <col min="17" max="17" width="5.85546875" customWidth="1"/>
    <col min="18" max="18" width="11.42578125" customWidth="1"/>
    <col min="19" max="19" width="1.140625" customWidth="1"/>
    <col min="20" max="21" width="9.85546875" customWidth="1"/>
    <col min="22" max="29" width="9.140625" customWidth="1"/>
  </cols>
  <sheetData>
    <row r="1" spans="1:31" ht="26.25" customHeight="1" x14ac:dyDescent="0.25">
      <c r="A1" s="8"/>
      <c r="B1" s="9" t="s">
        <v>0</v>
      </c>
      <c r="C1" s="187">
        <v>44042</v>
      </c>
      <c r="D1" s="8"/>
      <c r="E1" s="9" t="s">
        <v>1</v>
      </c>
      <c r="F1" s="65">
        <v>1</v>
      </c>
      <c r="G1" s="8"/>
      <c r="H1" s="47"/>
      <c r="I1" s="10"/>
      <c r="J1" s="47"/>
      <c r="K1" s="10"/>
      <c r="L1" s="11"/>
      <c r="M1" s="10"/>
      <c r="N1" s="11"/>
      <c r="O1" s="8"/>
      <c r="P1" s="46" t="s">
        <v>2</v>
      </c>
      <c r="Q1" s="65">
        <v>0.9</v>
      </c>
      <c r="R1" s="12"/>
      <c r="S1" s="12"/>
      <c r="T1" s="8"/>
      <c r="U1" s="8"/>
      <c r="AC1" t="s">
        <v>3</v>
      </c>
    </row>
    <row r="2" spans="1:31" ht="61.35" customHeight="1" x14ac:dyDescent="0.25">
      <c r="A2" s="13"/>
      <c r="B2" s="13"/>
      <c r="C2" s="13"/>
      <c r="D2" s="13"/>
      <c r="E2" s="13"/>
      <c r="F2" s="13"/>
      <c r="G2" s="13"/>
      <c r="H2" s="17" t="s">
        <v>4</v>
      </c>
      <c r="I2" s="13"/>
      <c r="J2" s="17" t="s">
        <v>5</v>
      </c>
      <c r="K2" s="13"/>
      <c r="L2" s="14" t="s">
        <v>6</v>
      </c>
      <c r="M2" s="13"/>
      <c r="N2" s="14" t="s">
        <v>2</v>
      </c>
      <c r="O2" s="13"/>
      <c r="P2" s="17" t="s">
        <v>7</v>
      </c>
      <c r="Q2" s="13"/>
      <c r="R2" s="13" t="s">
        <v>8</v>
      </c>
      <c r="S2" s="13"/>
      <c r="T2" s="13" t="s">
        <v>2</v>
      </c>
      <c r="U2" s="13"/>
    </row>
    <row r="3" spans="1:31" ht="18" customHeight="1" x14ac:dyDescent="0.25">
      <c r="A3" s="13"/>
      <c r="B3" s="13"/>
      <c r="C3" s="13"/>
      <c r="D3" s="13"/>
      <c r="E3" s="13"/>
      <c r="F3" s="13"/>
      <c r="G3" s="13"/>
      <c r="H3" s="17"/>
      <c r="I3" s="13"/>
      <c r="J3" s="17"/>
      <c r="K3" s="13"/>
      <c r="L3" s="14"/>
      <c r="M3" s="13"/>
      <c r="N3" s="14"/>
      <c r="O3" s="13"/>
      <c r="P3" s="17"/>
      <c r="Q3" s="13"/>
      <c r="R3" s="13"/>
      <c r="S3" s="13"/>
      <c r="T3" s="13"/>
      <c r="U3" s="13"/>
    </row>
    <row r="4" spans="1:31" ht="15.75" x14ac:dyDescent="0.25">
      <c r="A4" s="502" t="s">
        <v>1386</v>
      </c>
      <c r="B4" s="504" t="s">
        <v>10</v>
      </c>
      <c r="C4" s="504"/>
      <c r="D4" s="504"/>
      <c r="E4" s="504"/>
      <c r="F4" s="504"/>
      <c r="G4" s="15"/>
      <c r="H4" s="46" t="e">
        <f>COUNTIFS(tbl_cleaning[Housing Team],"HOUSING WEST TEAM 1",#REF!,"&lt;&gt;NV")</f>
        <v>#REF!</v>
      </c>
      <c r="I4" s="10"/>
      <c r="J4" s="46" t="e" cm="1">
        <f t="array" ref="J4">SUM(COUNTIFS(tbl_cleaning[Housing Team],"HOUSING WEST TEAM 1",#REF!,{"1","2","3","4"}))</f>
        <v>#REF!</v>
      </c>
      <c r="K4" s="10"/>
      <c r="L4" s="16" t="e">
        <f>J4/H4</f>
        <v>#REF!</v>
      </c>
      <c r="M4" s="10"/>
      <c r="N4" s="16">
        <f>$F$1</f>
        <v>1</v>
      </c>
      <c r="O4" s="8"/>
      <c r="P4" s="46" t="e">
        <f>COUNTIFS(tbl_cleaning[Housing Team],"HOUSING WEST TEAM 1",#REF!,3)+COUNTIFS(tbl_cleaning[Housing Team],"HOUSING WEST TEAM 1",#REF!,4)</f>
        <v>#REF!</v>
      </c>
      <c r="Q4" s="10"/>
      <c r="R4" s="16">
        <f t="shared" ref="R4:R7" si="0">IFERROR(P4/J4,0)</f>
        <v>0</v>
      </c>
      <c r="S4" s="10"/>
      <c r="T4" s="40">
        <f>$Q$1</f>
        <v>0.9</v>
      </c>
      <c r="U4" s="13"/>
    </row>
    <row r="5" spans="1:31" ht="15.75" x14ac:dyDescent="0.25">
      <c r="A5" s="502"/>
      <c r="B5" s="504" t="s">
        <v>11</v>
      </c>
      <c r="C5" s="504"/>
      <c r="D5" s="504"/>
      <c r="E5" s="504"/>
      <c r="F5" s="504"/>
      <c r="G5" s="15"/>
      <c r="H5" s="46" t="e">
        <f>COUNTIFS(tbl_cleaning[Housing Team],"HOUSING WEST TEAM 1",#REF!,"&lt;&gt;NV")</f>
        <v>#REF!</v>
      </c>
      <c r="I5" s="10"/>
      <c r="J5" s="46" t="e" cm="1">
        <f t="array" ref="J5">SUM(COUNTIFS(tbl_cleaning[Housing Team],"HOUSING WEST TEAM 1",#REF!,{"1","2","3","4"}))</f>
        <v>#REF!</v>
      </c>
      <c r="K5" s="10"/>
      <c r="L5" s="16" t="e">
        <f>J5/H5</f>
        <v>#REF!</v>
      </c>
      <c r="M5" s="10"/>
      <c r="N5" s="16">
        <f>$F$1</f>
        <v>1</v>
      </c>
      <c r="O5" s="8"/>
      <c r="P5" s="46" t="e">
        <f>COUNTIFS(tbl_cleaning[Housing Team],"HOUSING WEST TEAM 1",#REF!,3)+COUNTIFS(tbl_cleaning[Housing Team],"HOUSING WEST TEAM 1",#REF!,4)</f>
        <v>#REF!</v>
      </c>
      <c r="Q5" s="10"/>
      <c r="R5" s="16">
        <f t="shared" si="0"/>
        <v>0</v>
      </c>
      <c r="S5" s="10"/>
      <c r="T5" s="40">
        <f t="shared" ref="T5:T7" si="1">$Q$1</f>
        <v>0.9</v>
      </c>
      <c r="U5" s="13"/>
    </row>
    <row r="6" spans="1:31" ht="15.75" x14ac:dyDescent="0.25">
      <c r="A6" s="502"/>
      <c r="B6" s="504" t="s">
        <v>12</v>
      </c>
      <c r="C6" s="504"/>
      <c r="D6" s="504"/>
      <c r="E6" s="504"/>
      <c r="F6" s="504"/>
      <c r="G6" s="15"/>
      <c r="H6" s="46" t="e">
        <f>COUNTIFS(#REF!,"HOUSING WEST TEAM 1",#REF!,"&lt;&gt;NV")</f>
        <v>#REF!</v>
      </c>
      <c r="I6" s="10"/>
      <c r="J6" s="46" t="e">
        <f t="array" ref="J6">SUM(COUNTIFS(#REF!,"HOUSING WEST TEAM 1",#REF!,{"1","2","3","4"}))</f>
        <v>#REF!</v>
      </c>
      <c r="K6" s="10"/>
      <c r="L6" s="16" t="e">
        <f>J6/H6</f>
        <v>#REF!</v>
      </c>
      <c r="M6" s="10"/>
      <c r="N6" s="16">
        <f>$F$1</f>
        <v>1</v>
      </c>
      <c r="O6" s="8"/>
      <c r="P6" s="46" t="e">
        <f>COUNTIFS(#REF!,"HOUSING WEST TEAM 1",#REF!,3)+COUNTIFS(#REF!,"HOUSING WEST TEAM 1",#REF!,4)</f>
        <v>#REF!</v>
      </c>
      <c r="Q6" s="10"/>
      <c r="R6" s="16">
        <f t="shared" si="0"/>
        <v>0</v>
      </c>
      <c r="S6" s="10"/>
      <c r="T6" s="40">
        <f t="shared" si="1"/>
        <v>0.9</v>
      </c>
      <c r="U6" s="13"/>
    </row>
    <row r="7" spans="1:31" x14ac:dyDescent="0.25">
      <c r="A7" s="503"/>
      <c r="B7" s="504" t="s">
        <v>13</v>
      </c>
      <c r="C7" s="504"/>
      <c r="D7" s="504"/>
      <c r="E7" s="504"/>
      <c r="F7" s="504"/>
      <c r="G7" s="8"/>
      <c r="H7" s="46" t="e">
        <f>H4+H5+H6</f>
        <v>#REF!</v>
      </c>
      <c r="I7" s="10"/>
      <c r="J7" s="46" t="e">
        <f>SUM(J4:J6)</f>
        <v>#REF!</v>
      </c>
      <c r="K7" s="10"/>
      <c r="L7" s="16" t="e">
        <f>J7/H7</f>
        <v>#REF!</v>
      </c>
      <c r="M7" s="10"/>
      <c r="N7" s="16">
        <f>$F$1</f>
        <v>1</v>
      </c>
      <c r="O7" s="8"/>
      <c r="P7" s="46" t="e">
        <f>SUM(P4:P6)</f>
        <v>#REF!</v>
      </c>
      <c r="Q7" s="10"/>
      <c r="R7" s="16">
        <f t="shared" si="0"/>
        <v>0</v>
      </c>
      <c r="S7" s="10"/>
      <c r="T7" s="40">
        <f t="shared" si="1"/>
        <v>0.9</v>
      </c>
      <c r="U7" s="13"/>
    </row>
    <row r="8" spans="1:31" x14ac:dyDescent="0.25">
      <c r="H8"/>
      <c r="J8"/>
      <c r="P8"/>
    </row>
    <row r="9" spans="1:31" ht="15.75" x14ac:dyDescent="0.25">
      <c r="A9" s="502" t="s">
        <v>1385</v>
      </c>
      <c r="B9" s="504" t="s">
        <v>10</v>
      </c>
      <c r="C9" s="504"/>
      <c r="D9" s="504"/>
      <c r="E9" s="504"/>
      <c r="F9" s="504"/>
      <c r="G9" s="15"/>
      <c r="H9" s="46" t="e">
        <f>COUNTIFS(tbl_cleaning[Housing Team],"HOUSING WEST TEAM 2",#REF!,"&lt;&gt;NV")</f>
        <v>#REF!</v>
      </c>
      <c r="I9" s="10"/>
      <c r="J9" s="46" t="e" cm="1">
        <f t="array" ref="J9">SUM(COUNTIFS(tbl_cleaning[Housing Team],"HOUSING WEST TEAM 2",#REF!,{"1","2","3","4"}))</f>
        <v>#REF!</v>
      </c>
      <c r="K9" s="10"/>
      <c r="L9" s="16" t="e">
        <f>J9/H9</f>
        <v>#REF!</v>
      </c>
      <c r="M9" s="10"/>
      <c r="N9" s="16">
        <f>$F$1</f>
        <v>1</v>
      </c>
      <c r="O9" s="8"/>
      <c r="P9" s="46" t="e">
        <f>COUNTIFS(tbl_cleaning[Housing Team],"HOUSING WEST TEAM 2",#REF!,3)+COUNTIFS(tbl_cleaning[Housing Team],"HOUSING WEST TEAM 2",#REF!,4)</f>
        <v>#REF!</v>
      </c>
      <c r="Q9" s="10"/>
      <c r="R9" s="16">
        <f t="shared" ref="R9:R12" si="2">IFERROR(P9/J9,0)</f>
        <v>0</v>
      </c>
      <c r="S9" s="10"/>
      <c r="T9" s="40">
        <f t="shared" ref="T9:T12" si="3">$Q$1</f>
        <v>0.9</v>
      </c>
      <c r="U9" s="8"/>
    </row>
    <row r="10" spans="1:31" ht="15.75" x14ac:dyDescent="0.25">
      <c r="A10" s="502"/>
      <c r="B10" s="504" t="s">
        <v>11</v>
      </c>
      <c r="C10" s="504"/>
      <c r="D10" s="504"/>
      <c r="E10" s="504"/>
      <c r="F10" s="504"/>
      <c r="G10" s="15"/>
      <c r="H10" s="46" t="e">
        <f>COUNTIFS(tbl_cleaning[Housing Team],"HOUSING WEST TEAM 2",#REF!,"&lt;&gt;NV")</f>
        <v>#REF!</v>
      </c>
      <c r="I10" s="10"/>
      <c r="J10" s="46" t="e" cm="1">
        <f t="array" ref="J10">SUM(COUNTIFS(tbl_cleaning[Housing Team],"HOUSING WEST TEAM 2",#REF!,{"1","2","3","4"}))</f>
        <v>#REF!</v>
      </c>
      <c r="K10" s="10"/>
      <c r="L10" s="16" t="e">
        <f>J10/H10</f>
        <v>#REF!</v>
      </c>
      <c r="M10" s="10"/>
      <c r="N10" s="16">
        <f>$F$1</f>
        <v>1</v>
      </c>
      <c r="O10" s="8"/>
      <c r="P10" s="46" t="e">
        <f>COUNTIFS(tbl_cleaning[Housing Team],"HOUSING WEST TEAM 2",#REF!,3)+COUNTIFS(tbl_cleaning[Housing Team],"HOUSING WEST TEAM 2",#REF!,4)</f>
        <v>#REF!</v>
      </c>
      <c r="Q10" s="10"/>
      <c r="R10" s="16">
        <f t="shared" si="2"/>
        <v>0</v>
      </c>
      <c r="S10" s="10"/>
      <c r="T10" s="40">
        <f t="shared" si="3"/>
        <v>0.9</v>
      </c>
      <c r="U10" s="8"/>
      <c r="AE10" t="s">
        <v>3</v>
      </c>
    </row>
    <row r="11" spans="1:31" ht="15.75" x14ac:dyDescent="0.25">
      <c r="A11" s="502"/>
      <c r="B11" s="504" t="s">
        <v>12</v>
      </c>
      <c r="C11" s="504"/>
      <c r="D11" s="504"/>
      <c r="E11" s="504"/>
      <c r="F11" s="504"/>
      <c r="G11" s="15"/>
      <c r="H11" s="46" t="e">
        <f>COUNTIFS(#REF!,"HOUSING WEST TEAM 2",#REF!,"&lt;&gt;NV")</f>
        <v>#REF!</v>
      </c>
      <c r="I11" s="10"/>
      <c r="J11" s="46" t="e">
        <f t="array" ref="J11">SUM(COUNTIFS(#REF!,"HOUSING WEST TEAM 2",#REF!,{"1","2","3","4"}))</f>
        <v>#REF!</v>
      </c>
      <c r="K11" s="10"/>
      <c r="L11" s="16" t="e">
        <f>J11/H11</f>
        <v>#REF!</v>
      </c>
      <c r="M11" s="10"/>
      <c r="N11" s="16">
        <f>$F$1</f>
        <v>1</v>
      </c>
      <c r="O11" s="8"/>
      <c r="P11" s="46" t="e">
        <f>COUNTIFS(#REF!,"HOUSING WEST TEAM 2",#REF!,3)+COUNTIFS(#REF!,"HOUSING WEST TEAM 2",#REF!,4)</f>
        <v>#REF!</v>
      </c>
      <c r="Q11" s="10"/>
      <c r="R11" s="16">
        <f t="shared" si="2"/>
        <v>0</v>
      </c>
      <c r="S11" s="10"/>
      <c r="T11" s="40">
        <f t="shared" si="3"/>
        <v>0.9</v>
      </c>
      <c r="U11" s="8"/>
    </row>
    <row r="12" spans="1:31" x14ac:dyDescent="0.25">
      <c r="A12" s="503"/>
      <c r="B12" s="504" t="s">
        <v>13</v>
      </c>
      <c r="C12" s="504"/>
      <c r="D12" s="504"/>
      <c r="E12" s="504"/>
      <c r="F12" s="504"/>
      <c r="G12" s="8"/>
      <c r="H12" s="46" t="e">
        <f>H9+H10+H11</f>
        <v>#REF!</v>
      </c>
      <c r="I12" s="10"/>
      <c r="J12" s="46" t="e">
        <f>SUM(J9:J11)</f>
        <v>#REF!</v>
      </c>
      <c r="K12" s="10"/>
      <c r="L12" s="16" t="e">
        <f>J12/H12</f>
        <v>#REF!</v>
      </c>
      <c r="M12" s="10"/>
      <c r="N12" s="16">
        <f>$F$1</f>
        <v>1</v>
      </c>
      <c r="O12" s="8"/>
      <c r="P12" s="46" t="e">
        <f>SUM(P9:P11)</f>
        <v>#REF!</v>
      </c>
      <c r="Q12" s="10"/>
      <c r="R12" s="16">
        <f t="shared" si="2"/>
        <v>0</v>
      </c>
      <c r="S12" s="10"/>
      <c r="T12" s="40">
        <f t="shared" si="3"/>
        <v>0.9</v>
      </c>
      <c r="U12" s="8"/>
    </row>
    <row r="13" spans="1:31" x14ac:dyDescent="0.25">
      <c r="H13"/>
      <c r="J13"/>
      <c r="P13"/>
    </row>
    <row r="14" spans="1:31" ht="15.75" x14ac:dyDescent="0.25">
      <c r="A14" s="505" t="s">
        <v>1371</v>
      </c>
      <c r="B14" s="504" t="s">
        <v>10</v>
      </c>
      <c r="C14" s="504"/>
      <c r="D14" s="504"/>
      <c r="E14" s="504"/>
      <c r="F14" s="504"/>
      <c r="G14" s="15"/>
      <c r="H14" s="46" t="e">
        <f>COUNTIFS(tbl_cleaning[Housing Team],"HOUSING SOUTH TEAM 3",#REF!,"&lt;&gt;NV")</f>
        <v>#REF!</v>
      </c>
      <c r="I14" s="10"/>
      <c r="J14" s="46" t="e" cm="1">
        <f t="array" ref="J14">SUM(COUNTIFS(tbl_cleaning[Housing Team],"HOUSING SOUTH TEAM 3",#REF!,{"1","2","3","4"}))</f>
        <v>#REF!</v>
      </c>
      <c r="K14" s="10"/>
      <c r="L14" s="16" t="e">
        <f>J14/H14</f>
        <v>#REF!</v>
      </c>
      <c r="M14" s="10"/>
      <c r="N14" s="16">
        <f>$F$1</f>
        <v>1</v>
      </c>
      <c r="O14" s="8"/>
      <c r="P14" s="46" t="e">
        <f>COUNTIFS(tbl_cleaning[Housing Team],"HOUSING SOUTH TEAM 3",#REF!,3)+COUNTIFS(tbl_cleaning[Housing Team],"HOUSING SOUTH TEAM 3",#REF!,4)</f>
        <v>#REF!</v>
      </c>
      <c r="Q14" s="10"/>
      <c r="R14" s="16">
        <f t="shared" ref="R14:R17" si="4">IFERROR(P14/J14,0)</f>
        <v>0</v>
      </c>
      <c r="S14" s="10"/>
      <c r="T14" s="40">
        <f t="shared" ref="T14:T17" si="5">$Q$1</f>
        <v>0.9</v>
      </c>
      <c r="U14" s="8"/>
    </row>
    <row r="15" spans="1:31" ht="15.75" x14ac:dyDescent="0.25">
      <c r="A15" s="505"/>
      <c r="B15" s="504" t="s">
        <v>11</v>
      </c>
      <c r="C15" s="504"/>
      <c r="D15" s="504"/>
      <c r="E15" s="504"/>
      <c r="F15" s="504"/>
      <c r="G15" s="15"/>
      <c r="H15" s="46" t="e">
        <f>COUNTIFS(tbl_cleaning[Housing Team],"HOUSING SOUTH TEAM 3",#REF!,"&lt;&gt;NV")</f>
        <v>#REF!</v>
      </c>
      <c r="I15" s="10"/>
      <c r="J15" s="46" t="e" cm="1">
        <f t="array" ref="J15">SUM(COUNTIFS(tbl_cleaning[Housing Team],"HOUSING SOUTH TEAM 3",#REF!,{"1","2","3","4"}))</f>
        <v>#REF!</v>
      </c>
      <c r="K15" s="10"/>
      <c r="L15" s="16" t="e">
        <f>J15/H15</f>
        <v>#REF!</v>
      </c>
      <c r="M15" s="10"/>
      <c r="N15" s="16">
        <f>$F$1</f>
        <v>1</v>
      </c>
      <c r="O15" s="8"/>
      <c r="P15" s="46" t="e">
        <f>COUNTIFS(tbl_cleaning[Housing Team],"HOUSING SOUTH TEAM 3",#REF!,3)+COUNTIFS(tbl_cleaning[Housing Team],"HOUSING SOUTH TEAM 3",#REF!,4)</f>
        <v>#REF!</v>
      </c>
      <c r="Q15" s="10"/>
      <c r="R15" s="16">
        <f t="shared" si="4"/>
        <v>0</v>
      </c>
      <c r="S15" s="10"/>
      <c r="T15" s="40">
        <f t="shared" si="5"/>
        <v>0.9</v>
      </c>
      <c r="U15" s="8"/>
    </row>
    <row r="16" spans="1:31" ht="15.75" x14ac:dyDescent="0.25">
      <c r="A16" s="505"/>
      <c r="B16" s="504" t="s">
        <v>12</v>
      </c>
      <c r="C16" s="504"/>
      <c r="D16" s="504"/>
      <c r="E16" s="504"/>
      <c r="F16" s="504"/>
      <c r="G16" s="15"/>
      <c r="H16" s="46" t="e">
        <f>COUNTIFS(#REF!,"HOUSING SOUTH TEAM 3",#REF!,"&lt;&gt;NV")</f>
        <v>#REF!</v>
      </c>
      <c r="I16" s="10"/>
      <c r="J16" s="46" t="e">
        <f t="array" ref="J16">SUM(COUNTIFS(#REF!,"HOUSING SOUTH TEAM 3",#REF!,{"1","2","3","4"}))</f>
        <v>#REF!</v>
      </c>
      <c r="K16" s="10"/>
      <c r="L16" s="16" t="e">
        <f>J16/H16</f>
        <v>#REF!</v>
      </c>
      <c r="M16" s="10"/>
      <c r="N16" s="16">
        <f>$F$1</f>
        <v>1</v>
      </c>
      <c r="O16" s="8"/>
      <c r="P16" s="46" t="e">
        <f>COUNTIFS(#REF!,"HOUSING SOUTH TEAM 3",#REF!,3)+COUNTIFS(#REF!,"HOUSING SOUTH TEAM 3",#REF!,4)</f>
        <v>#REF!</v>
      </c>
      <c r="Q16" s="10"/>
      <c r="R16" s="16">
        <f t="shared" si="4"/>
        <v>0</v>
      </c>
      <c r="S16" s="10"/>
      <c r="T16" s="40">
        <f t="shared" si="5"/>
        <v>0.9</v>
      </c>
      <c r="U16" s="8"/>
    </row>
    <row r="17" spans="1:21" x14ac:dyDescent="0.25">
      <c r="A17" s="506"/>
      <c r="B17" s="504" t="s">
        <v>13</v>
      </c>
      <c r="C17" s="504"/>
      <c r="D17" s="504"/>
      <c r="E17" s="504"/>
      <c r="F17" s="504"/>
      <c r="G17" s="8"/>
      <c r="H17" s="46" t="e">
        <f>H14+H15+H16</f>
        <v>#REF!</v>
      </c>
      <c r="I17" s="10"/>
      <c r="J17" s="46" t="e">
        <f>SUM(J14:J16)</f>
        <v>#REF!</v>
      </c>
      <c r="K17" s="10"/>
      <c r="L17" s="16" t="e">
        <f>J17/H17</f>
        <v>#REF!</v>
      </c>
      <c r="M17" s="10"/>
      <c r="N17" s="16">
        <f>$F$1</f>
        <v>1</v>
      </c>
      <c r="O17" s="8"/>
      <c r="P17" s="46" t="e">
        <f>SUM(P14:P16)</f>
        <v>#REF!</v>
      </c>
      <c r="Q17" s="10"/>
      <c r="R17" s="16">
        <f t="shared" si="4"/>
        <v>0</v>
      </c>
      <c r="S17" s="10"/>
      <c r="T17" s="40">
        <f t="shared" si="5"/>
        <v>0.9</v>
      </c>
      <c r="U17" s="8"/>
    </row>
    <row r="18" spans="1:21" x14ac:dyDescent="0.25">
      <c r="H18"/>
      <c r="J18"/>
      <c r="P18"/>
    </row>
    <row r="19" spans="1:21" ht="15.75" x14ac:dyDescent="0.25">
      <c r="A19" s="502" t="s">
        <v>1382</v>
      </c>
      <c r="B19" s="504" t="s">
        <v>10</v>
      </c>
      <c r="C19" s="504"/>
      <c r="D19" s="504"/>
      <c r="E19" s="504"/>
      <c r="F19" s="504"/>
      <c r="G19" s="15"/>
      <c r="H19" s="46" t="e">
        <f>COUNTIFS(tbl_cleaning[Housing Team],"HOUSING WEST TEAM 4",#REF!,"&lt;&gt;NV")</f>
        <v>#REF!</v>
      </c>
      <c r="I19" s="10"/>
      <c r="J19" s="46" t="e" cm="1">
        <f t="array" ref="J19">SUM(COUNTIFS(tbl_cleaning[Housing Team],"HOUSING WEST TEAM 4",#REF!,{"1","2","3","4"}))</f>
        <v>#REF!</v>
      </c>
      <c r="K19" s="10"/>
      <c r="L19" s="16" t="e">
        <f>J19/H19</f>
        <v>#REF!</v>
      </c>
      <c r="M19" s="10"/>
      <c r="N19" s="16">
        <f>$F$1</f>
        <v>1</v>
      </c>
      <c r="O19" s="8"/>
      <c r="P19" s="46" t="e">
        <f>COUNTIFS(tbl_cleaning[Housing Team],"HOUSING WEST TEAM 4",#REF!,3)+COUNTIFS(tbl_cleaning[Housing Team],"HOUSING WEST TEAM 4",#REF!,4)</f>
        <v>#REF!</v>
      </c>
      <c r="Q19" s="10"/>
      <c r="R19" s="16">
        <f t="shared" ref="R19:R22" si="6">IFERROR(P19/J19,0)</f>
        <v>0</v>
      </c>
      <c r="S19" s="10"/>
      <c r="T19" s="40">
        <f t="shared" ref="T19:T22" si="7">$Q$1</f>
        <v>0.9</v>
      </c>
      <c r="U19" s="8"/>
    </row>
    <row r="20" spans="1:21" ht="15.75" x14ac:dyDescent="0.25">
      <c r="A20" s="502"/>
      <c r="B20" s="504" t="s">
        <v>11</v>
      </c>
      <c r="C20" s="504"/>
      <c r="D20" s="504"/>
      <c r="E20" s="504"/>
      <c r="F20" s="504"/>
      <c r="G20" s="15"/>
      <c r="H20" s="46" t="e">
        <f>COUNTIFS(tbl_cleaning[Housing Team],"HOUSING WEST TEAM 4",#REF!,"&lt;&gt;NV")</f>
        <v>#REF!</v>
      </c>
      <c r="I20" s="10"/>
      <c r="J20" s="46" t="e" cm="1">
        <f t="array" ref="J20">SUM(COUNTIFS(tbl_cleaning[Housing Team],"HOUSING WEST TEAM 4",#REF!,{"1","2","3","4"}))</f>
        <v>#REF!</v>
      </c>
      <c r="K20" s="10"/>
      <c r="L20" s="16" t="e">
        <f>J20/H20</f>
        <v>#REF!</v>
      </c>
      <c r="M20" s="10"/>
      <c r="N20" s="16">
        <f>$F$1</f>
        <v>1</v>
      </c>
      <c r="O20" s="8"/>
      <c r="P20" s="46" t="e">
        <f>COUNTIFS(tbl_cleaning[Housing Team],"HOUSING WEST TEAM 4",#REF!,3)+COUNTIFS(tbl_cleaning[Housing Team],"HOUSING WEST TEAM 4",#REF!,4)</f>
        <v>#REF!</v>
      </c>
      <c r="Q20" s="10"/>
      <c r="R20" s="16">
        <f t="shared" si="6"/>
        <v>0</v>
      </c>
      <c r="S20" s="10"/>
      <c r="T20" s="40">
        <f t="shared" si="7"/>
        <v>0.9</v>
      </c>
      <c r="U20" s="8"/>
    </row>
    <row r="21" spans="1:21" ht="15.75" x14ac:dyDescent="0.25">
      <c r="A21" s="502"/>
      <c r="B21" s="504" t="s">
        <v>12</v>
      </c>
      <c r="C21" s="504"/>
      <c r="D21" s="504"/>
      <c r="E21" s="504"/>
      <c r="F21" s="504"/>
      <c r="G21" s="15"/>
      <c r="H21" s="46" t="e">
        <f>COUNTIFS(#REF!,"HOUSING WEST TEAM 4",#REF!,"&lt;&gt;NV")</f>
        <v>#REF!</v>
      </c>
      <c r="I21" s="10"/>
      <c r="J21" s="46" t="e">
        <f t="array" ref="J21">SUM(COUNTIFS(#REF!,"HOUSING WEST TEAM 4",#REF!,{"1","2","3","4"}))</f>
        <v>#REF!</v>
      </c>
      <c r="K21" s="10"/>
      <c r="L21" s="16" t="e">
        <f>J21/H21</f>
        <v>#REF!</v>
      </c>
      <c r="M21" s="10"/>
      <c r="N21" s="16">
        <f>$F$1</f>
        <v>1</v>
      </c>
      <c r="O21" s="8"/>
      <c r="P21" s="46" t="e">
        <f>COUNTIFS(#REF!,"HOUSING WEST TEAM 4",#REF!,3)+COUNTIFS(#REF!,"HOUSING WEST TEAM 4",#REF!,4)</f>
        <v>#REF!</v>
      </c>
      <c r="Q21" s="10"/>
      <c r="R21" s="16">
        <f t="shared" si="6"/>
        <v>0</v>
      </c>
      <c r="S21" s="10"/>
      <c r="T21" s="40">
        <f t="shared" si="7"/>
        <v>0.9</v>
      </c>
      <c r="U21" s="8"/>
    </row>
    <row r="22" spans="1:21" x14ac:dyDescent="0.25">
      <c r="A22" s="503"/>
      <c r="B22" s="504" t="s">
        <v>13</v>
      </c>
      <c r="C22" s="504"/>
      <c r="D22" s="504"/>
      <c r="E22" s="504"/>
      <c r="F22" s="504"/>
      <c r="G22" s="8"/>
      <c r="H22" s="46" t="e">
        <f>H19+H20+H21</f>
        <v>#REF!</v>
      </c>
      <c r="I22" s="10"/>
      <c r="J22" s="46" t="e">
        <f>SUM(J19:J21)</f>
        <v>#REF!</v>
      </c>
      <c r="K22" s="10"/>
      <c r="L22" s="16" t="e">
        <f>J22/H22</f>
        <v>#REF!</v>
      </c>
      <c r="M22" s="10"/>
      <c r="N22" s="16">
        <f>$F$1</f>
        <v>1</v>
      </c>
      <c r="O22" s="8"/>
      <c r="P22" s="46" t="e">
        <f>SUM(P19:P21)</f>
        <v>#REF!</v>
      </c>
      <c r="Q22" s="10"/>
      <c r="R22" s="16">
        <f t="shared" si="6"/>
        <v>0</v>
      </c>
      <c r="S22" s="10"/>
      <c r="T22" s="40">
        <f t="shared" si="7"/>
        <v>0.9</v>
      </c>
      <c r="U22" s="8"/>
    </row>
    <row r="23" spans="1:21" x14ac:dyDescent="0.25">
      <c r="H23"/>
      <c r="J23"/>
      <c r="P23"/>
    </row>
    <row r="24" spans="1:21" ht="15.75" x14ac:dyDescent="0.25">
      <c r="A24" s="502" t="s">
        <v>1388</v>
      </c>
      <c r="B24" s="504" t="s">
        <v>10</v>
      </c>
      <c r="C24" s="504"/>
      <c r="D24" s="504"/>
      <c r="E24" s="504"/>
      <c r="F24" s="504"/>
      <c r="G24" s="15"/>
      <c r="H24" s="46" t="e">
        <f>COUNTIFS(tbl_cleaning[Housing Team],"HOUSING WEST TEAM 5",#REF!,"&lt;&gt;NV")</f>
        <v>#REF!</v>
      </c>
      <c r="I24" s="10"/>
      <c r="J24" s="46" t="e" cm="1">
        <f t="array" ref="J24">SUM(COUNTIFS(tbl_cleaning[Housing Team],"HOUSING WEST TEAM 5",#REF!,{"1","2","3","4"}))</f>
        <v>#REF!</v>
      </c>
      <c r="K24" s="10"/>
      <c r="L24" s="16" t="e">
        <f>J24/H24</f>
        <v>#REF!</v>
      </c>
      <c r="M24" s="10"/>
      <c r="N24" s="16">
        <f>$F$1</f>
        <v>1</v>
      </c>
      <c r="O24" s="8"/>
      <c r="P24" s="46" t="e">
        <f>COUNTIFS(tbl_cleaning[Housing Team],"HOUSING WEST TEAM 5",#REF!,3)+COUNTIFS(tbl_cleaning[Housing Team],"HOUSING WEST TEAM 5",#REF!,4)</f>
        <v>#REF!</v>
      </c>
      <c r="Q24" s="10"/>
      <c r="R24" s="16">
        <f t="shared" ref="R24:R27" si="8">IFERROR(P24/J24,0)</f>
        <v>0</v>
      </c>
      <c r="S24" s="10"/>
      <c r="T24" s="40">
        <f t="shared" ref="T24:T27" si="9">$Q$1</f>
        <v>0.9</v>
      </c>
      <c r="U24" s="8"/>
    </row>
    <row r="25" spans="1:21" ht="15.75" x14ac:dyDescent="0.25">
      <c r="A25" s="502"/>
      <c r="B25" s="504" t="s">
        <v>11</v>
      </c>
      <c r="C25" s="504"/>
      <c r="D25" s="504"/>
      <c r="E25" s="504"/>
      <c r="F25" s="504"/>
      <c r="G25" s="15"/>
      <c r="H25" s="46" t="e">
        <f>COUNTIFS(tbl_cleaning[Housing Team],"HOUSING WEST TEAM 5",#REF!,"&lt;&gt;NV")</f>
        <v>#REF!</v>
      </c>
      <c r="I25" s="10"/>
      <c r="J25" s="46" t="e" cm="1">
        <f t="array" ref="J25">SUM(COUNTIFS(tbl_cleaning[Housing Team],"HOUSING WEST TEAM 5",#REF!,{"1","2","3","4"}))</f>
        <v>#REF!</v>
      </c>
      <c r="K25" s="10"/>
      <c r="L25" s="16" t="e">
        <f>J25/H25</f>
        <v>#REF!</v>
      </c>
      <c r="M25" s="10"/>
      <c r="N25" s="16">
        <f>$F$1</f>
        <v>1</v>
      </c>
      <c r="O25" s="8"/>
      <c r="P25" s="46" t="e">
        <f>COUNTIFS(tbl_cleaning[Housing Team],"HOUSING WEST TEAM 5",#REF!,3)+COUNTIFS(tbl_cleaning[Housing Team],"HOUSING WEST TEAM 5",#REF!,4)</f>
        <v>#REF!</v>
      </c>
      <c r="Q25" s="10"/>
      <c r="R25" s="16">
        <f t="shared" si="8"/>
        <v>0</v>
      </c>
      <c r="S25" s="10"/>
      <c r="T25" s="40">
        <f t="shared" si="9"/>
        <v>0.9</v>
      </c>
      <c r="U25" s="8"/>
    </row>
    <row r="26" spans="1:21" ht="15.75" x14ac:dyDescent="0.25">
      <c r="A26" s="502"/>
      <c r="B26" s="504" t="s">
        <v>12</v>
      </c>
      <c r="C26" s="504"/>
      <c r="D26" s="504"/>
      <c r="E26" s="504"/>
      <c r="F26" s="504"/>
      <c r="G26" s="15"/>
      <c r="H26" s="46" t="e">
        <f>COUNTIFS(#REF!,"HOUSING WEST TEAM 5",#REF!,"&lt;&gt;NV")</f>
        <v>#REF!</v>
      </c>
      <c r="I26" s="10"/>
      <c r="J26" s="46" t="e">
        <f t="array" ref="J26">SUM(COUNTIFS(#REF!,"HOUSING WEST TEAM 5",#REF!,{"1","2","3","4"}))</f>
        <v>#REF!</v>
      </c>
      <c r="K26" s="10"/>
      <c r="L26" s="16" t="e">
        <f>J26/H26</f>
        <v>#REF!</v>
      </c>
      <c r="M26" s="10"/>
      <c r="N26" s="16">
        <f>$F$1</f>
        <v>1</v>
      </c>
      <c r="O26" s="8"/>
      <c r="P26" s="46" t="e">
        <f>COUNTIFS(#REF!,"HOUSING WEST TEAM 5",#REF!,3)+COUNTIFS(#REF!,"HOUSING WEST TEAM 5",#REF!,4)</f>
        <v>#REF!</v>
      </c>
      <c r="Q26" s="10"/>
      <c r="R26" s="16">
        <f t="shared" si="8"/>
        <v>0</v>
      </c>
      <c r="S26" s="10"/>
      <c r="T26" s="40">
        <f t="shared" si="9"/>
        <v>0.9</v>
      </c>
      <c r="U26" s="8"/>
    </row>
    <row r="27" spans="1:21" x14ac:dyDescent="0.25">
      <c r="A27" s="503"/>
      <c r="B27" s="504" t="s">
        <v>13</v>
      </c>
      <c r="C27" s="504"/>
      <c r="D27" s="504"/>
      <c r="E27" s="504"/>
      <c r="F27" s="504"/>
      <c r="G27" s="8"/>
      <c r="H27" s="46" t="e">
        <f>H24+H25+H26</f>
        <v>#REF!</v>
      </c>
      <c r="I27" s="10"/>
      <c r="J27" s="46" t="e">
        <f>SUM(J24:J26)</f>
        <v>#REF!</v>
      </c>
      <c r="K27" s="10"/>
      <c r="L27" s="16" t="e">
        <f>J27/H27</f>
        <v>#REF!</v>
      </c>
      <c r="M27" s="10"/>
      <c r="N27" s="16">
        <f>$F$1</f>
        <v>1</v>
      </c>
      <c r="O27" s="8"/>
      <c r="P27" s="46" t="e">
        <f>SUM(P24:P26)</f>
        <v>#REF!</v>
      </c>
      <c r="Q27" s="10"/>
      <c r="R27" s="16">
        <f t="shared" si="8"/>
        <v>0</v>
      </c>
      <c r="S27" s="10"/>
      <c r="T27" s="40">
        <f t="shared" si="9"/>
        <v>0.9</v>
      </c>
      <c r="U27" s="8"/>
    </row>
    <row r="28" spans="1:21" x14ac:dyDescent="0.25">
      <c r="H28"/>
      <c r="J28"/>
      <c r="P28"/>
    </row>
    <row r="29" spans="1:21" ht="15.75" x14ac:dyDescent="0.25">
      <c r="A29" s="502" t="s">
        <v>1387</v>
      </c>
      <c r="B29" s="504" t="s">
        <v>10</v>
      </c>
      <c r="C29" s="504"/>
      <c r="D29" s="504"/>
      <c r="E29" s="504"/>
      <c r="F29" s="504"/>
      <c r="G29" s="15"/>
      <c r="H29" s="46" t="e">
        <f>COUNTIFS(tbl_cleaning[Housing Team],"HOUSING WEST TEAM 6",#REF!,"&lt;&gt;NV")</f>
        <v>#REF!</v>
      </c>
      <c r="I29" s="10"/>
      <c r="J29" s="46" t="e" cm="1">
        <f t="array" ref="J29">SUM(COUNTIFS(tbl_cleaning[Housing Team],"HOUSING WEST TEAM 6",#REF!,{"1","2","3","4"}))</f>
        <v>#REF!</v>
      </c>
      <c r="K29" s="10"/>
      <c r="L29" s="16" t="e">
        <f>J29/H29</f>
        <v>#REF!</v>
      </c>
      <c r="M29" s="10"/>
      <c r="N29" s="16">
        <f>$F$1</f>
        <v>1</v>
      </c>
      <c r="O29" s="8"/>
      <c r="P29" s="46" t="e">
        <f>COUNTIFS(tbl_cleaning[Housing Team],"HOUSING WEST TEAM 6",#REF!,3)+COUNTIFS(tbl_cleaning[Housing Team],"HOUSING WEST TEAM 6",#REF!,4)</f>
        <v>#REF!</v>
      </c>
      <c r="Q29" s="10"/>
      <c r="R29" s="16">
        <f t="shared" ref="R29:R32" si="10">IFERROR(P29/J29,0)</f>
        <v>0</v>
      </c>
      <c r="S29" s="10"/>
      <c r="T29" s="40">
        <f t="shared" ref="T29:T32" si="11">$Q$1</f>
        <v>0.9</v>
      </c>
      <c r="U29" s="8"/>
    </row>
    <row r="30" spans="1:21" ht="15.75" x14ac:dyDescent="0.25">
      <c r="A30" s="502"/>
      <c r="B30" s="504" t="s">
        <v>11</v>
      </c>
      <c r="C30" s="504"/>
      <c r="D30" s="504"/>
      <c r="E30" s="504"/>
      <c r="F30" s="504"/>
      <c r="G30" s="15"/>
      <c r="H30" s="46" t="e">
        <f>COUNTIFS(tbl_cleaning[Housing Team],"HOUSING WEST TEAM 6",#REF!,"&lt;&gt;NV")</f>
        <v>#REF!</v>
      </c>
      <c r="I30" s="10"/>
      <c r="J30" s="46" t="e" cm="1">
        <f t="array" ref="J30">SUM(COUNTIFS(tbl_cleaning[Housing Team],"HOUSING WEST TEAM 6",#REF!,{"1","2","3","4"}))</f>
        <v>#REF!</v>
      </c>
      <c r="K30" s="10"/>
      <c r="L30" s="16" t="e">
        <f>J30/H30</f>
        <v>#REF!</v>
      </c>
      <c r="M30" s="10"/>
      <c r="N30" s="16">
        <f>$F$1</f>
        <v>1</v>
      </c>
      <c r="O30" s="8"/>
      <c r="P30" s="46" t="e">
        <f>COUNTIFS(tbl_cleaning[Housing Team],"HOUSING WEST TEAM 6",#REF!,3)+COUNTIFS(tbl_cleaning[Housing Team],"HOUSING WEST TEAM 6",#REF!,4)</f>
        <v>#REF!</v>
      </c>
      <c r="Q30" s="10"/>
      <c r="R30" s="16">
        <f t="shared" si="10"/>
        <v>0</v>
      </c>
      <c r="S30" s="10"/>
      <c r="T30" s="40">
        <f t="shared" si="11"/>
        <v>0.9</v>
      </c>
      <c r="U30" s="8"/>
    </row>
    <row r="31" spans="1:21" ht="15.75" x14ac:dyDescent="0.25">
      <c r="A31" s="502"/>
      <c r="B31" s="504" t="s">
        <v>12</v>
      </c>
      <c r="C31" s="504"/>
      <c r="D31" s="504"/>
      <c r="E31" s="504"/>
      <c r="F31" s="504"/>
      <c r="G31" s="15"/>
      <c r="H31" s="46" t="e">
        <f>COUNTIFS(#REF!,"HOUSING WEST TEAM 6",#REF!,"&lt;&gt;NV")</f>
        <v>#REF!</v>
      </c>
      <c r="I31" s="10"/>
      <c r="J31" s="46" t="e">
        <f t="array" ref="J31">SUM(COUNTIFS(#REF!,"HOUSING WEST TEAM 6",#REF!,{"1","2","3","4"}))</f>
        <v>#REF!</v>
      </c>
      <c r="K31" s="10"/>
      <c r="L31" s="16" t="e">
        <f>J31/H31</f>
        <v>#REF!</v>
      </c>
      <c r="M31" s="10"/>
      <c r="N31" s="16">
        <f>$F$1</f>
        <v>1</v>
      </c>
      <c r="O31" s="8"/>
      <c r="P31" s="46" t="e">
        <f>COUNTIFS(#REF!,"HOUSING WEST TEAM 6",#REF!,3)+COUNTIFS(#REF!,"HOUSING WEST TEAM 6",#REF!,4)</f>
        <v>#REF!</v>
      </c>
      <c r="Q31" s="10"/>
      <c r="R31" s="16">
        <f t="shared" si="10"/>
        <v>0</v>
      </c>
      <c r="S31" s="10"/>
      <c r="T31" s="40">
        <f t="shared" si="11"/>
        <v>0.9</v>
      </c>
      <c r="U31" s="8"/>
    </row>
    <row r="32" spans="1:21" x14ac:dyDescent="0.25">
      <c r="A32" s="503"/>
      <c r="B32" s="504" t="s">
        <v>13</v>
      </c>
      <c r="C32" s="504"/>
      <c r="D32" s="504"/>
      <c r="E32" s="504"/>
      <c r="F32" s="504"/>
      <c r="G32" s="8"/>
      <c r="H32" s="46" t="e">
        <f>H29+H30+H31</f>
        <v>#REF!</v>
      </c>
      <c r="I32" s="10"/>
      <c r="J32" s="46" t="e">
        <f>SUM(J29:J31)</f>
        <v>#REF!</v>
      </c>
      <c r="K32" s="10"/>
      <c r="L32" s="16" t="e">
        <f>J32/H32</f>
        <v>#REF!</v>
      </c>
      <c r="M32" s="10"/>
      <c r="N32" s="16">
        <f>$F$1</f>
        <v>1</v>
      </c>
      <c r="O32" s="8"/>
      <c r="P32" s="46" t="e">
        <f>SUM(P29:P31)</f>
        <v>#REF!</v>
      </c>
      <c r="Q32" s="10"/>
      <c r="R32" s="16">
        <f t="shared" si="10"/>
        <v>0</v>
      </c>
      <c r="S32" s="10"/>
      <c r="T32" s="40">
        <f t="shared" si="11"/>
        <v>0.9</v>
      </c>
      <c r="U32" s="8"/>
    </row>
    <row r="33" spans="1:21" x14ac:dyDescent="0.25">
      <c r="H33"/>
      <c r="J33"/>
      <c r="P33"/>
    </row>
    <row r="34" spans="1:21" ht="15.75" x14ac:dyDescent="0.25">
      <c r="A34" s="502" t="s">
        <v>1367</v>
      </c>
      <c r="B34" s="504" t="s">
        <v>10</v>
      </c>
      <c r="C34" s="504"/>
      <c r="D34" s="504"/>
      <c r="E34" s="504"/>
      <c r="F34" s="504"/>
      <c r="G34" s="15"/>
      <c r="H34" s="46" t="e">
        <f>COUNTIFS(tbl_cleaning[Housing Team],"HOUSING WEST TEAM 7",#REF!,"&lt;&gt;NV")</f>
        <v>#REF!</v>
      </c>
      <c r="I34" s="10"/>
      <c r="J34" s="46" t="e" cm="1">
        <f t="array" ref="J34">SUM(COUNTIFS(tbl_cleaning[Housing Team],"HOUSING WEST TEAM 7",#REF!,{"1","2","3","4"}))</f>
        <v>#REF!</v>
      </c>
      <c r="K34" s="10"/>
      <c r="L34" s="16" t="e">
        <f>J34/H34</f>
        <v>#REF!</v>
      </c>
      <c r="M34" s="10"/>
      <c r="N34" s="16">
        <f>$F$1</f>
        <v>1</v>
      </c>
      <c r="O34" s="8"/>
      <c r="P34" s="46" t="e">
        <f>COUNTIFS(tbl_cleaning[Housing Team],"HOUSING WEST TEAM 7",#REF!,3)+COUNTIFS(tbl_cleaning[Housing Team],"HOUSING WEST TEAM 7",#REF!,4)</f>
        <v>#REF!</v>
      </c>
      <c r="Q34" s="10"/>
      <c r="R34" s="16">
        <f t="shared" ref="R34:R37" si="12">IFERROR(P34/J34,0)</f>
        <v>0</v>
      </c>
      <c r="S34" s="10"/>
      <c r="T34" s="40">
        <f t="shared" ref="T34:T37" si="13">$Q$1</f>
        <v>0.9</v>
      </c>
      <c r="U34" s="8"/>
    </row>
    <row r="35" spans="1:21" ht="15.75" x14ac:dyDescent="0.25">
      <c r="A35" s="502"/>
      <c r="B35" s="504" t="s">
        <v>11</v>
      </c>
      <c r="C35" s="504"/>
      <c r="D35" s="504"/>
      <c r="E35" s="504"/>
      <c r="F35" s="504"/>
      <c r="G35" s="15"/>
      <c r="H35" s="46" t="e">
        <f>COUNTIFS(tbl_cleaning[Housing Team],"HOUSING WEST TEAM 7",#REF!,"&lt;&gt;NV")</f>
        <v>#REF!</v>
      </c>
      <c r="I35" s="10"/>
      <c r="J35" s="46" t="e" cm="1">
        <f t="array" ref="J35">SUM(COUNTIFS(tbl_cleaning[Housing Team],"HOUSING WEST TEAM 7",#REF!,{"1","2","3","4"}))</f>
        <v>#REF!</v>
      </c>
      <c r="K35" s="10"/>
      <c r="L35" s="16" t="e">
        <f>J35/H35</f>
        <v>#REF!</v>
      </c>
      <c r="M35" s="10"/>
      <c r="N35" s="16">
        <f t="shared" ref="N35:N37" si="14">$F$1</f>
        <v>1</v>
      </c>
      <c r="O35" s="8"/>
      <c r="P35" s="46" t="e">
        <f>COUNTIFS(tbl_cleaning[Housing Team],"HOUSING WEST TEAM 7",#REF!,3)+COUNTIFS(tbl_cleaning[Housing Team],"HOUSING WEST TEAM 7",#REF!,4)</f>
        <v>#REF!</v>
      </c>
      <c r="Q35" s="10"/>
      <c r="R35" s="16">
        <f t="shared" si="12"/>
        <v>0</v>
      </c>
      <c r="S35" s="10"/>
      <c r="T35" s="40">
        <f t="shared" si="13"/>
        <v>0.9</v>
      </c>
      <c r="U35" s="8"/>
    </row>
    <row r="36" spans="1:21" ht="15.75" x14ac:dyDescent="0.25">
      <c r="A36" s="502"/>
      <c r="B36" s="504" t="s">
        <v>12</v>
      </c>
      <c r="C36" s="504"/>
      <c r="D36" s="504"/>
      <c r="E36" s="504"/>
      <c r="F36" s="504"/>
      <c r="G36" s="15"/>
      <c r="H36" s="46" t="e">
        <f>COUNTIFS(#REF!,"HOUSING WEST TEAM 7",#REF!,"&lt;&gt;NV")</f>
        <v>#REF!</v>
      </c>
      <c r="I36" s="10"/>
      <c r="J36" s="46" t="e">
        <f t="array" ref="J36">SUM(COUNTIFS(#REF!,"HOUSING WEST TEAM 7",#REF!,{"1","2","3","4"}))</f>
        <v>#REF!</v>
      </c>
      <c r="K36" s="10"/>
      <c r="L36" s="16" t="e">
        <f>J36/H36</f>
        <v>#REF!</v>
      </c>
      <c r="M36" s="10"/>
      <c r="N36" s="16">
        <f t="shared" si="14"/>
        <v>1</v>
      </c>
      <c r="O36" s="8"/>
      <c r="P36" s="46" t="e">
        <f>COUNTIFS(#REF!,"HOUSING WEST TEAM 7",#REF!,3)+COUNTIFS(#REF!,"HOUSING WEST TEAM 7",#REF!,4)</f>
        <v>#REF!</v>
      </c>
      <c r="Q36" s="10"/>
      <c r="R36" s="16">
        <f t="shared" si="12"/>
        <v>0</v>
      </c>
      <c r="S36" s="10"/>
      <c r="T36" s="40">
        <f t="shared" si="13"/>
        <v>0.9</v>
      </c>
      <c r="U36" s="8"/>
    </row>
    <row r="37" spans="1:21" x14ac:dyDescent="0.25">
      <c r="A37" s="503"/>
      <c r="B37" s="504" t="s">
        <v>13</v>
      </c>
      <c r="C37" s="504"/>
      <c r="D37" s="504"/>
      <c r="E37" s="504"/>
      <c r="F37" s="504"/>
      <c r="G37" s="8"/>
      <c r="H37" s="46" t="e">
        <f>H34+H35+H36</f>
        <v>#REF!</v>
      </c>
      <c r="I37" s="10"/>
      <c r="J37" s="46" t="e">
        <f>SUM(J34:J36)</f>
        <v>#REF!</v>
      </c>
      <c r="K37" s="10"/>
      <c r="L37" s="16" t="e">
        <f>J37/H37</f>
        <v>#REF!</v>
      </c>
      <c r="M37" s="10"/>
      <c r="N37" s="16">
        <f t="shared" si="14"/>
        <v>1</v>
      </c>
      <c r="O37" s="8"/>
      <c r="P37" s="46" t="e">
        <f>SUM(P34:P36)</f>
        <v>#REF!</v>
      </c>
      <c r="Q37" s="10"/>
      <c r="R37" s="16">
        <f t="shared" si="12"/>
        <v>0</v>
      </c>
      <c r="S37" s="10"/>
      <c r="T37" s="40">
        <f t="shared" si="13"/>
        <v>0.9</v>
      </c>
      <c r="U37" s="8"/>
    </row>
    <row r="38" spans="1:21" x14ac:dyDescent="0.25">
      <c r="H38"/>
      <c r="J38"/>
      <c r="P38"/>
    </row>
    <row r="39" spans="1:21" ht="15.75" x14ac:dyDescent="0.25">
      <c r="A39" s="502" t="s">
        <v>1370</v>
      </c>
      <c r="B39" s="507" t="s">
        <v>10</v>
      </c>
      <c r="C39" s="508"/>
      <c r="D39" s="508"/>
      <c r="E39" s="508"/>
      <c r="F39" s="509"/>
      <c r="G39" s="15"/>
      <c r="H39" s="46" t="e">
        <f>COUNTIFS(tbl_cleaning[Housing Team],"HOUSING WEST TEAM 8",#REF!,"&lt;&gt;NV")</f>
        <v>#REF!</v>
      </c>
      <c r="I39" s="10"/>
      <c r="J39" s="46" t="e" cm="1">
        <f t="array" ref="J39">SUM(COUNTIFS(tbl_cleaning[Housing Team],"HOUSING WEST TEAM 8",#REF!,{"1","2","3","4"}))</f>
        <v>#REF!</v>
      </c>
      <c r="K39" s="10"/>
      <c r="L39" s="16" t="e">
        <f>J39/H39</f>
        <v>#REF!</v>
      </c>
      <c r="M39" s="10"/>
      <c r="N39" s="16">
        <f t="shared" ref="N39:N42" si="15">$F$1</f>
        <v>1</v>
      </c>
      <c r="O39" s="8"/>
      <c r="P39" s="46" t="e">
        <f>COUNTIFS(tbl_cleaning[Housing Team],"HOUSING WEST TEAM 8",#REF!,3)+COUNTIFS(tbl_cleaning[Housing Team],"HOUSING WEST TEAM 8",#REF!,4)</f>
        <v>#REF!</v>
      </c>
      <c r="Q39" s="10"/>
      <c r="R39" s="16">
        <f t="shared" ref="R39:R42" si="16">IFERROR(P39/J39,0)</f>
        <v>0</v>
      </c>
      <c r="S39" s="10"/>
      <c r="T39" s="40">
        <f t="shared" ref="T39:T42" si="17">$Q$1</f>
        <v>0.9</v>
      </c>
      <c r="U39" s="8"/>
    </row>
    <row r="40" spans="1:21" ht="15.75" x14ac:dyDescent="0.25">
      <c r="A40" s="502"/>
      <c r="B40" s="507" t="s">
        <v>11</v>
      </c>
      <c r="C40" s="508"/>
      <c r="D40" s="508"/>
      <c r="E40" s="508"/>
      <c r="F40" s="509"/>
      <c r="G40" s="15"/>
      <c r="H40" s="46" t="e">
        <f>COUNTIFS(tbl_cleaning[Housing Team],"HOUSING WEST TEAM 8",#REF!,"&lt;&gt;NV")</f>
        <v>#REF!</v>
      </c>
      <c r="I40" s="10"/>
      <c r="J40" s="46" t="e" cm="1">
        <f t="array" ref="J40">SUM(COUNTIFS(tbl_cleaning[Housing Team],"HOUSING WEST TEAM 8",#REF!,{"1","2","3","4"}))</f>
        <v>#REF!</v>
      </c>
      <c r="K40" s="10"/>
      <c r="L40" s="16" t="e">
        <f>J40/H40</f>
        <v>#REF!</v>
      </c>
      <c r="M40" s="10"/>
      <c r="N40" s="16">
        <f t="shared" si="15"/>
        <v>1</v>
      </c>
      <c r="O40" s="8"/>
      <c r="P40" s="46" t="e">
        <f>COUNTIFS(tbl_cleaning[Housing Team],"HOUSING WEST TEAM 8",#REF!,3)+COUNTIFS(tbl_cleaning[Housing Team],"HOUSING WEST TEAM 8",#REF!,4)</f>
        <v>#REF!</v>
      </c>
      <c r="Q40" s="10"/>
      <c r="R40" s="16">
        <f t="shared" si="16"/>
        <v>0</v>
      </c>
      <c r="S40" s="10"/>
      <c r="T40" s="40">
        <f t="shared" si="17"/>
        <v>0.9</v>
      </c>
      <c r="U40" s="8"/>
    </row>
    <row r="41" spans="1:21" ht="15.75" x14ac:dyDescent="0.25">
      <c r="A41" s="502"/>
      <c r="B41" s="507" t="s">
        <v>12</v>
      </c>
      <c r="C41" s="508"/>
      <c r="D41" s="508"/>
      <c r="E41" s="508"/>
      <c r="F41" s="509"/>
      <c r="G41" s="15"/>
      <c r="H41" s="46" t="e">
        <f>(COUNTIFS(#REF!,"HOUSING WEST TEAM 8",#REF!,"&lt;&gt;NV"))</f>
        <v>#REF!</v>
      </c>
      <c r="I41" s="10"/>
      <c r="J41" s="46" t="e">
        <f t="array" ref="J41">SUM(COUNTIFS(#REF!,"HOUSING WEST TEAM 8",#REF!,{"1","2","3","4"}))</f>
        <v>#REF!</v>
      </c>
      <c r="K41" s="10"/>
      <c r="L41" s="16" t="e">
        <f>J41/H41</f>
        <v>#REF!</v>
      </c>
      <c r="M41" s="10"/>
      <c r="N41" s="16">
        <f t="shared" si="15"/>
        <v>1</v>
      </c>
      <c r="O41" s="8"/>
      <c r="P41" s="46" t="e">
        <f>COUNTIFS(#REF!,"HOUSING WEST TEAM 8",#REF!,3)+COUNTIFS(#REF!,"HOUSING WEST TEAM 8",#REF!,4)</f>
        <v>#REF!</v>
      </c>
      <c r="Q41" s="10"/>
      <c r="R41" s="16">
        <f t="shared" si="16"/>
        <v>0</v>
      </c>
      <c r="S41" s="10"/>
      <c r="T41" s="40">
        <f t="shared" si="17"/>
        <v>0.9</v>
      </c>
      <c r="U41" s="8"/>
    </row>
    <row r="42" spans="1:21" x14ac:dyDescent="0.25">
      <c r="A42" s="502"/>
      <c r="B42" s="507" t="s">
        <v>13</v>
      </c>
      <c r="C42" s="508"/>
      <c r="D42" s="508"/>
      <c r="E42" s="508"/>
      <c r="F42" s="509"/>
      <c r="G42" s="8"/>
      <c r="H42" s="46" t="e">
        <f>H39+H40+H41</f>
        <v>#REF!</v>
      </c>
      <c r="I42" s="10"/>
      <c r="J42" s="46" t="e">
        <f>SUM(J39:J41)</f>
        <v>#REF!</v>
      </c>
      <c r="K42" s="10"/>
      <c r="L42" s="16" t="e">
        <f>J42/H42</f>
        <v>#REF!</v>
      </c>
      <c r="M42" s="10"/>
      <c r="N42" s="16">
        <f t="shared" si="15"/>
        <v>1</v>
      </c>
      <c r="O42" s="8"/>
      <c r="P42" s="46" t="e">
        <f>SUM(P39:P41)</f>
        <v>#REF!</v>
      </c>
      <c r="Q42" s="10"/>
      <c r="R42" s="16">
        <f t="shared" si="16"/>
        <v>0</v>
      </c>
      <c r="S42" s="10"/>
      <c r="T42" s="40">
        <f t="shared" si="17"/>
        <v>0.9</v>
      </c>
      <c r="U42" s="8"/>
    </row>
    <row r="43" spans="1:21" x14ac:dyDescent="0.25">
      <c r="H43"/>
      <c r="J43"/>
      <c r="P43"/>
    </row>
    <row r="44" spans="1:21" ht="15.75" x14ac:dyDescent="0.25">
      <c r="A44" s="505" t="s">
        <v>1363</v>
      </c>
      <c r="B44" s="504" t="s">
        <v>10</v>
      </c>
      <c r="C44" s="504"/>
      <c r="D44" s="504"/>
      <c r="E44" s="504"/>
      <c r="F44" s="504"/>
      <c r="G44" s="15"/>
      <c r="H44" s="46" t="e">
        <f>COUNTIFS(tbl_cleaning[Housing Team],"HOUSING SOUTH TEAM 5",#REF!,"&lt;&gt;NV")</f>
        <v>#REF!</v>
      </c>
      <c r="I44" s="10"/>
      <c r="J44" s="46" t="e" cm="1">
        <f t="array" ref="J44">SUM(COUNTIFS(tbl_cleaning[Housing Team],"HOUSING SOUTH TEAM 5",#REF!,{"1","2","3","4"}))</f>
        <v>#REF!</v>
      </c>
      <c r="K44" s="10"/>
      <c r="L44" s="16" t="e">
        <f>J44/H44</f>
        <v>#REF!</v>
      </c>
      <c r="M44" s="10"/>
      <c r="N44" s="16">
        <f>$F$1</f>
        <v>1</v>
      </c>
      <c r="O44" s="8"/>
      <c r="P44" s="46" t="e">
        <f>COUNTIFS(tbl_cleaning[Housing Team],"HOUSING SOUTH TEAM 5",#REF!,3)+COUNTIFS(tbl_cleaning[Housing Team],"HOUSING SOUTH TEAM 5",#REF!,4)</f>
        <v>#REF!</v>
      </c>
      <c r="Q44" s="10"/>
      <c r="R44" s="16">
        <f t="shared" ref="R44:R47" si="18">IFERROR(P44/J44,0)</f>
        <v>0</v>
      </c>
      <c r="S44" s="10"/>
      <c r="T44" s="40">
        <f t="shared" ref="T44:T47" si="19">$Q$1</f>
        <v>0.9</v>
      </c>
      <c r="U44" s="8"/>
    </row>
    <row r="45" spans="1:21" ht="15.75" x14ac:dyDescent="0.25">
      <c r="A45" s="505"/>
      <c r="B45" s="504" t="s">
        <v>11</v>
      </c>
      <c r="C45" s="504"/>
      <c r="D45" s="504"/>
      <c r="E45" s="504"/>
      <c r="F45" s="504"/>
      <c r="G45" s="15"/>
      <c r="H45" s="46" t="e">
        <f>COUNTIFS(tbl_cleaning[Housing Team],"HOUSING SOUTH TEAM 5",#REF!,"&lt;&gt;NV")</f>
        <v>#REF!</v>
      </c>
      <c r="I45" s="10"/>
      <c r="J45" s="46" t="e" cm="1">
        <f t="array" ref="J45">SUM(COUNTIFS(tbl_cleaning[Housing Team],"HOUSING SOUTH TEAM 5",#REF!,{"1","2","3","4"}))</f>
        <v>#REF!</v>
      </c>
      <c r="K45" s="10"/>
      <c r="L45" s="16" t="e">
        <f>J45/H45</f>
        <v>#REF!</v>
      </c>
      <c r="M45" s="10"/>
      <c r="N45" s="16">
        <f>$F$1</f>
        <v>1</v>
      </c>
      <c r="O45" s="8"/>
      <c r="P45" s="46" t="e">
        <f>COUNTIFS(tbl_cleaning[Housing Team],"HOUSING SOUTH TEAM 5",#REF!,3)+COUNTIFS(tbl_cleaning[Housing Team],"HOUSING SOUTH TEAM 5",#REF!,4)</f>
        <v>#REF!</v>
      </c>
      <c r="Q45" s="10"/>
      <c r="R45" s="16">
        <f t="shared" si="18"/>
        <v>0</v>
      </c>
      <c r="S45" s="10"/>
      <c r="T45" s="40">
        <f t="shared" si="19"/>
        <v>0.9</v>
      </c>
      <c r="U45" s="8"/>
    </row>
    <row r="46" spans="1:21" ht="15.75" x14ac:dyDescent="0.25">
      <c r="A46" s="505"/>
      <c r="B46" s="504" t="s">
        <v>12</v>
      </c>
      <c r="C46" s="504"/>
      <c r="D46" s="504"/>
      <c r="E46" s="504"/>
      <c r="F46" s="504"/>
      <c r="G46" s="15"/>
      <c r="H46" s="46" t="e">
        <f>COUNTIFS(#REF!,"HOUSING SOUTH TEAM 5",#REF!,"&lt;&gt;NV")</f>
        <v>#REF!</v>
      </c>
      <c r="I46" s="10"/>
      <c r="J46" s="46" t="e">
        <f t="array" ref="J46">SUM(COUNTIFS(#REF!,"HOUSING SOUTH TEAM 5",#REF!,{"1","2","3","4"}))</f>
        <v>#REF!</v>
      </c>
      <c r="K46" s="10"/>
      <c r="L46" s="16" t="e">
        <f>J46/H46</f>
        <v>#REF!</v>
      </c>
      <c r="M46" s="10"/>
      <c r="N46" s="16">
        <f>$F$1</f>
        <v>1</v>
      </c>
      <c r="O46" s="8"/>
      <c r="P46" s="46" t="e">
        <f>COUNTIFS(#REF!,"HOUSING SOUTH TEAM 5",#REF!,3)+COUNTIFS(#REF!,"HOUSING SOUTH TEAM 5",#REF!,4)</f>
        <v>#REF!</v>
      </c>
      <c r="Q46" s="10"/>
      <c r="R46" s="16">
        <f t="shared" si="18"/>
        <v>0</v>
      </c>
      <c r="S46" s="10"/>
      <c r="T46" s="40">
        <f t="shared" si="19"/>
        <v>0.9</v>
      </c>
      <c r="U46" s="8"/>
    </row>
    <row r="47" spans="1:21" x14ac:dyDescent="0.25">
      <c r="A47" s="506"/>
      <c r="B47" s="504" t="s">
        <v>13</v>
      </c>
      <c r="C47" s="504"/>
      <c r="D47" s="504"/>
      <c r="E47" s="504"/>
      <c r="F47" s="504"/>
      <c r="G47" s="8"/>
      <c r="H47" s="46" t="e">
        <f>H44+H45+H46</f>
        <v>#REF!</v>
      </c>
      <c r="I47" s="10"/>
      <c r="J47" s="46" t="e">
        <f>SUM(J44:J46)</f>
        <v>#REF!</v>
      </c>
      <c r="K47" s="10"/>
      <c r="L47" s="16" t="e">
        <f>J47/H47</f>
        <v>#REF!</v>
      </c>
      <c r="M47" s="10"/>
      <c r="N47" s="16">
        <f>$F$1</f>
        <v>1</v>
      </c>
      <c r="O47" s="8"/>
      <c r="P47" s="46" t="e">
        <f>SUM(P44:P46)</f>
        <v>#REF!</v>
      </c>
      <c r="Q47" s="10"/>
      <c r="R47" s="16">
        <f t="shared" si="18"/>
        <v>0</v>
      </c>
      <c r="S47" s="10"/>
      <c r="T47" s="40">
        <f t="shared" si="19"/>
        <v>0.9</v>
      </c>
      <c r="U47" s="8"/>
    </row>
    <row r="48" spans="1:21" x14ac:dyDescent="0.25">
      <c r="H48"/>
      <c r="J48"/>
      <c r="P48"/>
    </row>
    <row r="49" spans="1:21" ht="15.75" customHeight="1" x14ac:dyDescent="0.25">
      <c r="A49" s="502" t="s">
        <v>1377</v>
      </c>
      <c r="B49" s="504" t="s">
        <v>10</v>
      </c>
      <c r="C49" s="504"/>
      <c r="D49" s="504"/>
      <c r="E49" s="504"/>
      <c r="F49" s="504"/>
      <c r="G49" s="15"/>
      <c r="H49" s="46" t="e">
        <f>COUNTIFS(tbl_cleaning[Housing Team],"HOUSING WEST TEAM 3",#REF!,"&lt;&gt;NV")</f>
        <v>#REF!</v>
      </c>
      <c r="I49" s="10"/>
      <c r="J49" s="46" t="e" cm="1">
        <f t="array" ref="J49">SUM(COUNTIFS(tbl_cleaning[Housing Team],"HOUSING WEST TEAM 3",#REF!,{"1","2","3","4"}))</f>
        <v>#REF!</v>
      </c>
      <c r="K49" s="10"/>
      <c r="L49" s="16" t="e">
        <f>J49/H49</f>
        <v>#REF!</v>
      </c>
      <c r="M49" s="10"/>
      <c r="N49" s="16">
        <f>$F$1</f>
        <v>1</v>
      </c>
      <c r="O49" s="8"/>
      <c r="P49" s="46" t="e">
        <f>COUNTIFS(tbl_cleaning[Housing Team],"HOUSING WEST TEAM 3",#REF!,3)+COUNTIFS(tbl_cleaning[Housing Team],"HOUSING WEST TEAM 3",#REF!,4)</f>
        <v>#REF!</v>
      </c>
      <c r="Q49" s="10"/>
      <c r="R49" s="16">
        <f t="shared" ref="R49:R52" si="20">IFERROR(P49/J49,0)</f>
        <v>0</v>
      </c>
      <c r="S49" s="10"/>
      <c r="T49" s="40">
        <f t="shared" ref="T49:T52" si="21">$Q$1</f>
        <v>0.9</v>
      </c>
      <c r="U49" s="8"/>
    </row>
    <row r="50" spans="1:21" ht="15.75" x14ac:dyDescent="0.25">
      <c r="A50" s="502"/>
      <c r="B50" s="504" t="s">
        <v>11</v>
      </c>
      <c r="C50" s="504"/>
      <c r="D50" s="504"/>
      <c r="E50" s="504"/>
      <c r="F50" s="504"/>
      <c r="G50" s="15"/>
      <c r="H50" s="46" t="e">
        <f>COUNTIFS(tbl_cleaning[Housing Team],"HOUSING WEST TEAM 3",#REF!,"&lt;&gt;NV")</f>
        <v>#REF!</v>
      </c>
      <c r="I50" s="10"/>
      <c r="J50" s="46" t="e" cm="1">
        <f t="array" ref="J50">SUM(COUNTIFS(tbl_cleaning[Housing Team],"HOUSING WEST TEAM 3",#REF!,{"1","2","3","4"}))</f>
        <v>#REF!</v>
      </c>
      <c r="K50" s="10"/>
      <c r="L50" s="16" t="e">
        <f>J50/H50</f>
        <v>#REF!</v>
      </c>
      <c r="M50" s="10"/>
      <c r="N50" s="16">
        <f>$F$1</f>
        <v>1</v>
      </c>
      <c r="O50" s="8"/>
      <c r="P50" s="46" t="e">
        <f>COUNTIFS(tbl_cleaning[Housing Team],"HOUSING WEST TEAM 3",#REF!,3)+COUNTIFS(tbl_cleaning[Housing Team],"HOUSING WEST TEAM 3",#REF!,4)</f>
        <v>#REF!</v>
      </c>
      <c r="Q50" s="10"/>
      <c r="R50" s="16">
        <f t="shared" si="20"/>
        <v>0</v>
      </c>
      <c r="S50" s="10"/>
      <c r="T50" s="40">
        <f t="shared" si="21"/>
        <v>0.9</v>
      </c>
      <c r="U50" s="8"/>
    </row>
    <row r="51" spans="1:21" ht="15.75" x14ac:dyDescent="0.25">
      <c r="A51" s="502"/>
      <c r="B51" s="504" t="s">
        <v>12</v>
      </c>
      <c r="C51" s="504"/>
      <c r="D51" s="504"/>
      <c r="E51" s="504"/>
      <c r="F51" s="504"/>
      <c r="G51" s="15"/>
      <c r="H51" s="46" t="e">
        <f>COUNTIFS(#REF!,"HOUSING WEST TEAM 3",#REF!,"&lt;&gt;NV")</f>
        <v>#REF!</v>
      </c>
      <c r="I51" s="10"/>
      <c r="J51" s="46" t="e">
        <f t="array" ref="J51">SUM(COUNTIFS(#REF!,"HOUSING WEST TEAM 3",#REF!,{"1","2","3","4"}))</f>
        <v>#REF!</v>
      </c>
      <c r="K51" s="10"/>
      <c r="L51" s="16" t="e">
        <f>J51/H51</f>
        <v>#REF!</v>
      </c>
      <c r="M51" s="10"/>
      <c r="N51" s="16">
        <f>$F$1</f>
        <v>1</v>
      </c>
      <c r="O51" s="8"/>
      <c r="P51" s="46" t="e">
        <f>COUNTIFS(#REF!,"HOUSING WEST TEAM 3",#REF!,3)+COUNTIFS(#REF!,"HOUSING WEST TEAM 3",#REF!,4)</f>
        <v>#REF!</v>
      </c>
      <c r="Q51" s="10"/>
      <c r="R51" s="16">
        <f t="shared" si="20"/>
        <v>0</v>
      </c>
      <c r="S51" s="10"/>
      <c r="T51" s="40">
        <f t="shared" si="21"/>
        <v>0.9</v>
      </c>
      <c r="U51" s="8"/>
    </row>
    <row r="52" spans="1:21" x14ac:dyDescent="0.25">
      <c r="A52" s="503"/>
      <c r="B52" s="504" t="s">
        <v>13</v>
      </c>
      <c r="C52" s="504"/>
      <c r="D52" s="504"/>
      <c r="E52" s="504"/>
      <c r="F52" s="504"/>
      <c r="G52" s="8"/>
      <c r="H52" s="46" t="e">
        <f>H49+H50+H51</f>
        <v>#REF!</v>
      </c>
      <c r="I52" s="10"/>
      <c r="J52" s="46" t="e">
        <f>SUM(J49:J51)</f>
        <v>#REF!</v>
      </c>
      <c r="K52" s="10"/>
      <c r="L52" s="16" t="e">
        <f>J52/H52</f>
        <v>#REF!</v>
      </c>
      <c r="M52" s="10"/>
      <c r="N52" s="16">
        <f>$F$1</f>
        <v>1</v>
      </c>
      <c r="O52" s="8"/>
      <c r="P52" s="46" t="e">
        <f>SUM(P49:P51)</f>
        <v>#REF!</v>
      </c>
      <c r="Q52" s="10"/>
      <c r="R52" s="16">
        <f t="shared" si="20"/>
        <v>0</v>
      </c>
      <c r="S52" s="10"/>
      <c r="T52" s="40">
        <f t="shared" si="21"/>
        <v>0.9</v>
      </c>
      <c r="U52" s="8"/>
    </row>
    <row r="53" spans="1:21" ht="15.75" customHeight="1" x14ac:dyDescent="0.25">
      <c r="H53"/>
      <c r="J53"/>
      <c r="P53"/>
    </row>
    <row r="54" spans="1:21" ht="15.75" customHeight="1" x14ac:dyDescent="0.25">
      <c r="A54" s="505" t="s">
        <v>1379</v>
      </c>
      <c r="B54" s="504" t="s">
        <v>10</v>
      </c>
      <c r="C54" s="504"/>
      <c r="D54" s="504"/>
      <c r="E54" s="504"/>
      <c r="F54" s="504"/>
      <c r="G54" s="15"/>
      <c r="H54" s="46" t="e">
        <f>COUNTIFS(tbl_cleaning[Housing Team],"HOUSING SOUTH TEAM 4",#REF!,"&lt;&gt;NV")</f>
        <v>#REF!</v>
      </c>
      <c r="I54" s="10"/>
      <c r="J54" s="46" t="e" cm="1">
        <f t="array" ref="J54">SUM(COUNTIFS(tbl_cleaning[Housing Team],"HOUSING SOUTH TEAM 4",#REF!,{"1","2","3","4"}))</f>
        <v>#REF!</v>
      </c>
      <c r="K54" s="10"/>
      <c r="L54" s="16" t="e">
        <f>J54/H54</f>
        <v>#REF!</v>
      </c>
      <c r="M54" s="10"/>
      <c r="N54" s="16">
        <f>$F$1</f>
        <v>1</v>
      </c>
      <c r="O54" s="8"/>
      <c r="P54" s="46" t="e">
        <f>COUNTIFS(tbl_cleaning[Housing Team],"HOUSING SOUTH TEAM 4",#REF!,3)+COUNTIFS(tbl_cleaning[Housing Team],"HOUSING SOUTH TEAM 4",#REF!,4)</f>
        <v>#REF!</v>
      </c>
      <c r="Q54" s="10"/>
      <c r="R54" s="16">
        <f t="shared" ref="R54:R57" si="22">IFERROR(P54/J54,0)</f>
        <v>0</v>
      </c>
      <c r="S54" s="10"/>
      <c r="T54" s="40">
        <f t="shared" ref="T54:T57" si="23">$Q$1</f>
        <v>0.9</v>
      </c>
      <c r="U54" s="8"/>
    </row>
    <row r="55" spans="1:21" ht="15.75" customHeight="1" x14ac:dyDescent="0.25">
      <c r="A55" s="505"/>
      <c r="B55" s="504" t="s">
        <v>11</v>
      </c>
      <c r="C55" s="504"/>
      <c r="D55" s="504"/>
      <c r="E55" s="504"/>
      <c r="F55" s="504"/>
      <c r="G55" s="15"/>
      <c r="H55" s="46" t="e">
        <f>COUNTIFS(tbl_cleaning[Housing Team],"HOUSING SOUTH TEAM 4",#REF!,"&lt;&gt;NV")</f>
        <v>#REF!</v>
      </c>
      <c r="I55" s="10"/>
      <c r="J55" s="46" t="e" cm="1">
        <f t="array" ref="J55">SUM(COUNTIFS(tbl_cleaning[Housing Team],"HOUSING SOUTH TEAM 4",#REF!,{"1","2","3","4"}))</f>
        <v>#REF!</v>
      </c>
      <c r="K55" s="10"/>
      <c r="L55" s="16" t="e">
        <f>J55/H55</f>
        <v>#REF!</v>
      </c>
      <c r="M55" s="10"/>
      <c r="N55" s="16">
        <f>$F$1</f>
        <v>1</v>
      </c>
      <c r="O55" s="8"/>
      <c r="P55" s="46" t="e">
        <f>COUNTIFS(tbl_cleaning[Housing Team],"HOUSING SOUTH TEAM 4",#REF!,3)+COUNTIFS(tbl_cleaning[Housing Team],"HOUSING SOUTH TEAM 4",#REF!,4)</f>
        <v>#REF!</v>
      </c>
      <c r="Q55" s="10"/>
      <c r="R55" s="16">
        <f t="shared" si="22"/>
        <v>0</v>
      </c>
      <c r="S55" s="10"/>
      <c r="T55" s="40">
        <f t="shared" si="23"/>
        <v>0.9</v>
      </c>
      <c r="U55" s="8"/>
    </row>
    <row r="56" spans="1:21" ht="15.75" customHeight="1" x14ac:dyDescent="0.25">
      <c r="A56" s="505"/>
      <c r="B56" s="504" t="s">
        <v>12</v>
      </c>
      <c r="C56" s="504"/>
      <c r="D56" s="504"/>
      <c r="E56" s="504"/>
      <c r="F56" s="504"/>
      <c r="G56" s="15"/>
      <c r="H56" s="46" t="e">
        <f>COUNTIFS(#REF!,"HOUSING SOUTH TEAM 4",#REF!,"&lt;&gt;NV")</f>
        <v>#REF!</v>
      </c>
      <c r="I56" s="10"/>
      <c r="J56" s="46" t="e">
        <f t="array" ref="J56">SUM(COUNTIFS(#REF!,"HOUSING SOUTH TEAM 4",#REF!,{"1","2","3","4"}))</f>
        <v>#REF!</v>
      </c>
      <c r="K56" s="10"/>
      <c r="L56" s="16" t="e">
        <f>J56/H56</f>
        <v>#REF!</v>
      </c>
      <c r="M56" s="10"/>
      <c r="N56" s="16">
        <f>$F$1</f>
        <v>1</v>
      </c>
      <c r="O56" s="8"/>
      <c r="P56" s="46" t="e">
        <f>COUNTIFS(#REF!,"HOUSING SOUTH TEAM 4",#REF!,3)+COUNTIFS(#REF!,"HOUSING SOUTH TEAM 4",#REF!,4)</f>
        <v>#REF!</v>
      </c>
      <c r="Q56" s="10"/>
      <c r="R56" s="16">
        <f t="shared" si="22"/>
        <v>0</v>
      </c>
      <c r="S56" s="10"/>
      <c r="T56" s="40">
        <f t="shared" si="23"/>
        <v>0.9</v>
      </c>
      <c r="U56" s="8"/>
    </row>
    <row r="57" spans="1:21" ht="15.75" customHeight="1" x14ac:dyDescent="0.25">
      <c r="A57" s="506"/>
      <c r="B57" s="504" t="s">
        <v>13</v>
      </c>
      <c r="C57" s="504"/>
      <c r="D57" s="504"/>
      <c r="E57" s="504"/>
      <c r="F57" s="504"/>
      <c r="G57" s="8"/>
      <c r="H57" s="46" t="e">
        <f>H54+H55+H56</f>
        <v>#REF!</v>
      </c>
      <c r="I57" s="10"/>
      <c r="J57" s="46" t="e">
        <f>SUM(J54:J56)</f>
        <v>#REF!</v>
      </c>
      <c r="K57" s="10"/>
      <c r="L57" s="16" t="e">
        <f>J57/H57</f>
        <v>#REF!</v>
      </c>
      <c r="M57" s="10"/>
      <c r="N57" s="16">
        <f>$F$1</f>
        <v>1</v>
      </c>
      <c r="O57" s="8"/>
      <c r="P57" s="46" t="e">
        <f>SUM(P54:P56)</f>
        <v>#REF!</v>
      </c>
      <c r="Q57" s="10"/>
      <c r="R57" s="16">
        <f t="shared" si="22"/>
        <v>0</v>
      </c>
      <c r="S57" s="10"/>
      <c r="T57" s="40">
        <f t="shared" si="23"/>
        <v>0.9</v>
      </c>
      <c r="U57" s="8"/>
    </row>
    <row r="58" spans="1:21" ht="15.75" customHeight="1" x14ac:dyDescent="0.25">
      <c r="H58"/>
      <c r="J58"/>
      <c r="P58"/>
    </row>
    <row r="59" spans="1:21" ht="15.75" customHeight="1" x14ac:dyDescent="0.25">
      <c r="A59" s="505" t="s">
        <v>1384</v>
      </c>
      <c r="B59" s="504" t="s">
        <v>10</v>
      </c>
      <c r="C59" s="504"/>
      <c r="D59" s="504"/>
      <c r="E59" s="504"/>
      <c r="F59" s="504"/>
      <c r="H59" s="46" t="e">
        <f>COUNTIFS(tbl_cleaning[Housing Team],"HOUSING SOUTH TEAM 6",#REF!,"&lt;&gt;NV")</f>
        <v>#REF!</v>
      </c>
      <c r="I59" s="10"/>
      <c r="J59" s="46" t="e" cm="1">
        <f t="array" ref="J59">SUM(COUNTIFS(tbl_cleaning[Housing Team],"HOUSING SOUTH TEAM 6",#REF!,{"1","2","3","4"}))</f>
        <v>#REF!</v>
      </c>
      <c r="K59" s="10"/>
      <c r="L59" s="16" t="e">
        <f>J59/H59</f>
        <v>#REF!</v>
      </c>
      <c r="M59" s="10"/>
      <c r="N59" s="16">
        <f>$F$1</f>
        <v>1</v>
      </c>
      <c r="O59" s="8"/>
      <c r="P59" s="46" t="e">
        <f>COUNTIFS(tbl_cleaning[Housing Team],"HOUSING SOUTH TEAM 6",#REF!,3)+COUNTIFS(tbl_cleaning[Housing Team],"HOUSING SOUTH TEAM 6",#REF!,4)</f>
        <v>#REF!</v>
      </c>
      <c r="Q59" s="10"/>
      <c r="R59" s="16">
        <f t="shared" ref="R59:R62" si="24">IFERROR(P59/J59,0)</f>
        <v>0</v>
      </c>
      <c r="S59" s="10"/>
      <c r="T59" s="40">
        <f t="shared" ref="T59:T62" si="25">$Q$1</f>
        <v>0.9</v>
      </c>
    </row>
    <row r="60" spans="1:21" ht="15.75" customHeight="1" x14ac:dyDescent="0.25">
      <c r="A60" s="505"/>
      <c r="B60" s="504" t="s">
        <v>11</v>
      </c>
      <c r="C60" s="504"/>
      <c r="D60" s="504"/>
      <c r="E60" s="504"/>
      <c r="F60" s="504"/>
      <c r="H60" s="46" t="e">
        <f>COUNTIFS(tbl_cleaning[Housing Team],"HOUSING SOUTH TEAM 6",#REF!,"&lt;&gt;NV")</f>
        <v>#REF!</v>
      </c>
      <c r="I60" s="10"/>
      <c r="J60" s="46" t="e" cm="1">
        <f t="array" ref="J60">SUM(COUNTIFS(tbl_cleaning[Housing Team],"HOUSING SOUTH TEAM 6",#REF!,{"1","2","3","4"}))</f>
        <v>#REF!</v>
      </c>
      <c r="K60" s="10"/>
      <c r="L60" s="16" t="e">
        <f>J60/H60</f>
        <v>#REF!</v>
      </c>
      <c r="M60" s="10"/>
      <c r="N60" s="16">
        <f>$F$1</f>
        <v>1</v>
      </c>
      <c r="O60" s="8"/>
      <c r="P60" s="46" t="e">
        <f>COUNTIFS(tbl_cleaning[Housing Team],"HOUSING SOUTH TEAM 6",#REF!,3)+COUNTIFS(tbl_cleaning[Housing Team],"HOUSING SOUTH TEAM 6",#REF!,4)</f>
        <v>#REF!</v>
      </c>
      <c r="Q60" s="10"/>
      <c r="R60" s="16">
        <f t="shared" si="24"/>
        <v>0</v>
      </c>
      <c r="S60" s="10"/>
      <c r="T60" s="40">
        <f t="shared" si="25"/>
        <v>0.9</v>
      </c>
    </row>
    <row r="61" spans="1:21" ht="15.75" customHeight="1" x14ac:dyDescent="0.25">
      <c r="A61" s="505"/>
      <c r="B61" s="504" t="s">
        <v>12</v>
      </c>
      <c r="C61" s="504"/>
      <c r="D61" s="504"/>
      <c r="E61" s="504"/>
      <c r="F61" s="504"/>
      <c r="H61" s="46" t="e">
        <f>COUNTIFS(#REF!,"HOUSING SOUTH TEAM 6",#REF!,"&lt;&gt;NV")</f>
        <v>#REF!</v>
      </c>
      <c r="I61" s="10"/>
      <c r="J61" s="46" t="e">
        <f t="array" ref="J61">SUM(COUNTIFS(#REF!,"HOUSING SOUTH TEAM 6",#REF!,{"1","2","3","4"}))</f>
        <v>#REF!</v>
      </c>
      <c r="K61" s="10"/>
      <c r="L61" s="16" t="e">
        <f>J61/H61</f>
        <v>#REF!</v>
      </c>
      <c r="M61" s="10"/>
      <c r="N61" s="16">
        <f>$F$1</f>
        <v>1</v>
      </c>
      <c r="O61" s="8"/>
      <c r="P61" s="46" t="e">
        <f>COUNTIFS(#REF!,"HOUSING SOUTH TEAM 6",#REF!,3)+COUNTIFS(#REF!,"HOUSING SOUTH TEAM 6",#REF!,4)</f>
        <v>#REF!</v>
      </c>
      <c r="Q61" s="10"/>
      <c r="R61" s="16">
        <f t="shared" si="24"/>
        <v>0</v>
      </c>
      <c r="S61" s="10"/>
      <c r="T61" s="40">
        <f t="shared" si="25"/>
        <v>0.9</v>
      </c>
    </row>
    <row r="62" spans="1:21" ht="15.75" customHeight="1" x14ac:dyDescent="0.25">
      <c r="A62" s="506"/>
      <c r="B62" s="504" t="s">
        <v>13</v>
      </c>
      <c r="C62" s="504"/>
      <c r="D62" s="504"/>
      <c r="E62" s="504"/>
      <c r="F62" s="504"/>
      <c r="H62" s="46" t="e">
        <f>H59+H60+H61</f>
        <v>#REF!</v>
      </c>
      <c r="I62" s="10"/>
      <c r="J62" s="46" t="e">
        <f>SUM(J59:J61)</f>
        <v>#REF!</v>
      </c>
      <c r="K62" s="10"/>
      <c r="L62" s="16" t="e">
        <f>J62/H62</f>
        <v>#REF!</v>
      </c>
      <c r="M62" s="10"/>
      <c r="N62" s="16">
        <f>$F$1</f>
        <v>1</v>
      </c>
      <c r="O62" s="8"/>
      <c r="P62" s="46" t="e">
        <f>SUM(P59:P61)</f>
        <v>#REF!</v>
      </c>
      <c r="Q62" s="10"/>
      <c r="R62" s="16">
        <f t="shared" si="24"/>
        <v>0</v>
      </c>
      <c r="S62" s="10"/>
      <c r="T62" s="40">
        <f t="shared" si="25"/>
        <v>0.9</v>
      </c>
    </row>
    <row r="63" spans="1:21" ht="16.5" customHeight="1" x14ac:dyDescent="0.25">
      <c r="H63"/>
      <c r="J63"/>
      <c r="P63"/>
    </row>
    <row r="64" spans="1:21" ht="16.5" customHeight="1" x14ac:dyDescent="0.25">
      <c r="A64" s="510" t="s">
        <v>1362</v>
      </c>
      <c r="B64" s="507" t="s">
        <v>10</v>
      </c>
      <c r="C64" s="508"/>
      <c r="D64" s="508"/>
      <c r="E64" s="508"/>
      <c r="F64" s="509"/>
      <c r="H64" s="46" t="e">
        <f>COUNTIFS(tbl_cleaning[Housing Team],"Housing IMR",#REF!,"&lt;&gt;NV")</f>
        <v>#REF!</v>
      </c>
      <c r="I64" s="10"/>
      <c r="J64" s="46" t="e" cm="1">
        <f t="array" ref="J64">SUM(COUNTIFS(tbl_cleaning[Housing Team],"Housing IMR",#REF!,{"1","2","3","4"}))</f>
        <v>#REF!</v>
      </c>
      <c r="K64" s="10"/>
      <c r="L64" s="16" t="e">
        <f>J64/H64</f>
        <v>#REF!</v>
      </c>
      <c r="M64" s="10"/>
      <c r="N64" s="16">
        <f>$F$1</f>
        <v>1</v>
      </c>
      <c r="O64" s="8"/>
      <c r="P64" s="46" t="e">
        <f>COUNTIFS(tbl_cleaning[Housing Team],"Housing IMR",#REF!,3)+COUNTIFS(tbl_cleaning[Housing Team],"Housing IMR",#REF!,4)</f>
        <v>#REF!</v>
      </c>
      <c r="Q64" s="10"/>
      <c r="R64" s="16">
        <f t="shared" ref="R64:R67" si="26">IFERROR(P64/J64,0)</f>
        <v>0</v>
      </c>
      <c r="S64" s="10"/>
      <c r="T64" s="40">
        <f t="shared" ref="T64:T67" si="27">$Q$1</f>
        <v>0.9</v>
      </c>
    </row>
    <row r="65" spans="1:21" ht="16.5" customHeight="1" x14ac:dyDescent="0.25">
      <c r="A65" s="510"/>
      <c r="B65" s="507" t="s">
        <v>11</v>
      </c>
      <c r="C65" s="508"/>
      <c r="D65" s="508"/>
      <c r="E65" s="508"/>
      <c r="F65" s="509"/>
      <c r="H65" s="46" t="e">
        <f>COUNTIFS(tbl_cleaning[Housing Team],"Housing IMR",#REF!,"&lt;&gt;NV")</f>
        <v>#REF!</v>
      </c>
      <c r="I65" s="10"/>
      <c r="J65" s="46" t="e" cm="1">
        <f t="array" ref="J65">SUM(COUNTIFS(tbl_cleaning[Housing Team],"Housing IMR",#REF!,{"1","2","3","4"}))</f>
        <v>#REF!</v>
      </c>
      <c r="K65" s="10"/>
      <c r="L65" s="16" t="e">
        <f>J65/H65</f>
        <v>#REF!</v>
      </c>
      <c r="M65" s="10"/>
      <c r="N65" s="16">
        <f>$F$1</f>
        <v>1</v>
      </c>
      <c r="O65" s="8"/>
      <c r="P65" s="46" t="e">
        <f>COUNTIFS(tbl_cleaning[Housing Team],"Housing IMR",#REF!,3)+COUNTIFS(tbl_cleaning[Housing Team],"Housing IMR",#REF!,4)</f>
        <v>#REF!</v>
      </c>
      <c r="Q65" s="10"/>
      <c r="R65" s="16">
        <f t="shared" si="26"/>
        <v>0</v>
      </c>
      <c r="S65" s="10"/>
      <c r="T65" s="40">
        <f t="shared" si="27"/>
        <v>0.9</v>
      </c>
    </row>
    <row r="66" spans="1:21" ht="15.75" customHeight="1" x14ac:dyDescent="0.25">
      <c r="A66" s="510"/>
      <c r="B66" s="507" t="s">
        <v>12</v>
      </c>
      <c r="C66" s="508"/>
      <c r="D66" s="508"/>
      <c r="E66" s="508"/>
      <c r="F66" s="509"/>
      <c r="H66" s="46" t="e">
        <f>COUNTIFS(#REF!,"Housing IMR",#REF!,"&lt;&gt;NV")</f>
        <v>#REF!</v>
      </c>
      <c r="I66" s="10"/>
      <c r="J66" s="46" t="e">
        <f t="array" ref="J66">SUM(COUNTIFS(#REF!,"Housing IMR",#REF!,{"1","2","3","4"}))</f>
        <v>#REF!</v>
      </c>
      <c r="K66" s="10"/>
      <c r="L66" s="16" t="e">
        <f>J66/H66</f>
        <v>#REF!</v>
      </c>
      <c r="M66" s="10"/>
      <c r="N66" s="16">
        <f>$F$1</f>
        <v>1</v>
      </c>
      <c r="O66" s="8"/>
      <c r="P66" s="46" t="e">
        <f>COUNTIFS(#REF!,"Housing IMR",#REF!,3)+COUNTIFS(#REF!,"Housing IMR",#REF!,4)</f>
        <v>#REF!</v>
      </c>
      <c r="Q66" s="10"/>
      <c r="R66" s="16">
        <f t="shared" si="26"/>
        <v>0</v>
      </c>
      <c r="S66" s="10"/>
      <c r="T66" s="40">
        <f t="shared" si="27"/>
        <v>0.9</v>
      </c>
    </row>
    <row r="67" spans="1:21" ht="15.75" customHeight="1" x14ac:dyDescent="0.25">
      <c r="A67" s="510"/>
      <c r="B67" s="507" t="s">
        <v>13</v>
      </c>
      <c r="C67" s="508"/>
      <c r="D67" s="508"/>
      <c r="E67" s="508"/>
      <c r="F67" s="509"/>
      <c r="H67" s="46" t="e">
        <f>H64+H65+H66</f>
        <v>#REF!</v>
      </c>
      <c r="I67" s="10"/>
      <c r="J67" s="46" t="e">
        <f>SUM(J64:J66)</f>
        <v>#REF!</v>
      </c>
      <c r="K67" s="10"/>
      <c r="L67" s="16" t="e">
        <f>J67/H67</f>
        <v>#REF!</v>
      </c>
      <c r="M67" s="10"/>
      <c r="N67" s="16">
        <f>$F$1</f>
        <v>1</v>
      </c>
      <c r="O67" s="8"/>
      <c r="P67" s="46" t="e">
        <f>SUM(P64:P66)</f>
        <v>#REF!</v>
      </c>
      <c r="Q67" s="10"/>
      <c r="R67" s="16">
        <f t="shared" si="26"/>
        <v>0</v>
      </c>
      <c r="S67" s="10"/>
      <c r="T67" s="40">
        <f t="shared" si="27"/>
        <v>0.9</v>
      </c>
    </row>
    <row r="68" spans="1:21" ht="15.75" customHeight="1" x14ac:dyDescent="0.25">
      <c r="H68"/>
      <c r="J68"/>
      <c r="P68"/>
    </row>
    <row r="69" spans="1:21" ht="15.75" customHeight="1" x14ac:dyDescent="0.25">
      <c r="A69" s="510" t="s">
        <v>1390</v>
      </c>
      <c r="B69" s="507" t="s">
        <v>10</v>
      </c>
      <c r="C69" s="508"/>
      <c r="D69" s="508"/>
      <c r="E69" s="508"/>
      <c r="F69" s="509"/>
      <c r="H69" s="46" t="e">
        <f>COUNTIFS(tbl_cleaning[Housing Team],"HOUSING EAST TEAM 1",#REF!,"&lt;&gt;NV")</f>
        <v>#REF!</v>
      </c>
      <c r="I69" s="10"/>
      <c r="J69" s="46" t="e" cm="1">
        <f t="array" ref="J69">SUM(COUNTIFS(tbl_cleaning[Housing Team],"HOUSING EAST TEAM 1",#REF!,{"1","2","3","4"}))</f>
        <v>#REF!</v>
      </c>
      <c r="K69" s="10"/>
      <c r="L69" s="16" t="e">
        <f>J69/H69</f>
        <v>#REF!</v>
      </c>
      <c r="M69" s="10"/>
      <c r="N69" s="16">
        <f>$F$1</f>
        <v>1</v>
      </c>
      <c r="O69" s="8"/>
      <c r="P69" s="46" t="e">
        <f>COUNTIFS(tbl_cleaning[Housing Team],"HOUSING EAST TEAM 1",#REF!,3)+COUNTIFS(tbl_cleaning[Housing Team],"HOUSING EAST TEAM 1",#REF!,4)</f>
        <v>#REF!</v>
      </c>
      <c r="Q69" s="10"/>
      <c r="R69" s="16">
        <f t="shared" ref="R69:R72" si="28">IFERROR(P69/J69,0)</f>
        <v>0</v>
      </c>
      <c r="S69" s="10"/>
      <c r="T69" s="40">
        <f t="shared" ref="T69:T72" si="29">$Q$1</f>
        <v>0.9</v>
      </c>
      <c r="U69" s="8"/>
    </row>
    <row r="70" spans="1:21" ht="15.75" customHeight="1" x14ac:dyDescent="0.25">
      <c r="A70" s="510"/>
      <c r="B70" s="507" t="s">
        <v>11</v>
      </c>
      <c r="C70" s="508"/>
      <c r="D70" s="508"/>
      <c r="E70" s="508"/>
      <c r="F70" s="509"/>
      <c r="H70" s="46" t="e">
        <f>COUNTIFS(tbl_cleaning[Housing Team],"HOUSING EAST TEAM 1",#REF!,"&lt;&gt;NV")</f>
        <v>#REF!</v>
      </c>
      <c r="I70" s="10"/>
      <c r="J70" s="46" t="e" cm="1">
        <f t="array" ref="J70">SUM(COUNTIFS(tbl_cleaning[Housing Team],"HOUSING EAST TEAM 1",#REF!,{"1","2","3","4"}))</f>
        <v>#REF!</v>
      </c>
      <c r="K70" s="10"/>
      <c r="L70" s="16" t="e">
        <f>J70/H70</f>
        <v>#REF!</v>
      </c>
      <c r="M70" s="10"/>
      <c r="N70" s="16">
        <f>$F$1</f>
        <v>1</v>
      </c>
      <c r="O70" s="8"/>
      <c r="P70" s="46" t="e">
        <f>COUNTIFS(tbl_cleaning[Housing Team],"HOUSING EAST TEAM 1",#REF!,3)+COUNTIFS(tbl_cleaning[Housing Team],"HOUSING EAST TEAM 1",#REF!,4)</f>
        <v>#REF!</v>
      </c>
      <c r="Q70" s="10"/>
      <c r="R70" s="16">
        <f t="shared" si="28"/>
        <v>0</v>
      </c>
      <c r="S70" s="10"/>
      <c r="T70" s="40">
        <f t="shared" si="29"/>
        <v>0.9</v>
      </c>
      <c r="U70" s="8"/>
    </row>
    <row r="71" spans="1:21" ht="15.75" customHeight="1" x14ac:dyDescent="0.25">
      <c r="A71" s="510"/>
      <c r="B71" s="507" t="s">
        <v>12</v>
      </c>
      <c r="C71" s="508"/>
      <c r="D71" s="508"/>
      <c r="E71" s="508"/>
      <c r="F71" s="509"/>
      <c r="H71" s="46" t="e">
        <f>COUNTIFS(#REF!,"HOUSING EAST TEAM 1",#REF!,"&lt;&gt;NV")</f>
        <v>#REF!</v>
      </c>
      <c r="I71" s="10"/>
      <c r="J71" s="46" t="e">
        <f t="array" ref="J71">SUM(COUNTIFS(#REF!,"HOUSING EAST TEAM 1",#REF!,{"1","2","3","4"}))</f>
        <v>#REF!</v>
      </c>
      <c r="K71" s="10"/>
      <c r="L71" s="16" t="e">
        <f>J71/H71</f>
        <v>#REF!</v>
      </c>
      <c r="M71" s="10"/>
      <c r="N71" s="16">
        <f>$F$1</f>
        <v>1</v>
      </c>
      <c r="O71" s="8"/>
      <c r="P71" s="46" t="e">
        <f>COUNTIFS(#REF!,"HOUSING EAST TEAM 1",#REF!,3)+COUNTIFS(#REF!,"HOUSING EAST TEAM 1",#REF!,4)</f>
        <v>#REF!</v>
      </c>
      <c r="Q71" s="10"/>
      <c r="R71" s="16">
        <f t="shared" si="28"/>
        <v>0</v>
      </c>
      <c r="S71" s="10"/>
      <c r="T71" s="40">
        <f t="shared" si="29"/>
        <v>0.9</v>
      </c>
      <c r="U71" s="8"/>
    </row>
    <row r="72" spans="1:21" ht="15.75" customHeight="1" x14ac:dyDescent="0.25">
      <c r="A72" s="511"/>
      <c r="B72" s="504" t="s">
        <v>13</v>
      </c>
      <c r="C72" s="504"/>
      <c r="D72" s="504"/>
      <c r="E72" s="504"/>
      <c r="F72" s="504"/>
      <c r="H72" s="46" t="e">
        <f>H69+H70+H71</f>
        <v>#REF!</v>
      </c>
      <c r="I72" s="10"/>
      <c r="J72" s="46" t="e">
        <f>SUM(J69:J71)</f>
        <v>#REF!</v>
      </c>
      <c r="K72" s="10"/>
      <c r="L72" s="16" t="e">
        <f>J72/H72</f>
        <v>#REF!</v>
      </c>
      <c r="M72" s="10"/>
      <c r="N72" s="16">
        <f>$F$1</f>
        <v>1</v>
      </c>
      <c r="O72" s="8"/>
      <c r="P72" s="46" t="e">
        <f>SUM(P69:P71)</f>
        <v>#REF!</v>
      </c>
      <c r="Q72" s="10"/>
      <c r="R72" s="16">
        <f t="shared" si="28"/>
        <v>0</v>
      </c>
      <c r="S72" s="10"/>
      <c r="T72" s="40">
        <f t="shared" si="29"/>
        <v>0.9</v>
      </c>
      <c r="U72" s="8"/>
    </row>
    <row r="73" spans="1:21" ht="15.75" customHeight="1" x14ac:dyDescent="0.25">
      <c r="H73"/>
      <c r="J73"/>
      <c r="P73"/>
    </row>
    <row r="74" spans="1:21" ht="15.75" customHeight="1" x14ac:dyDescent="0.25">
      <c r="A74" s="510" t="s">
        <v>1383</v>
      </c>
      <c r="B74" s="504" t="s">
        <v>10</v>
      </c>
      <c r="C74" s="504"/>
      <c r="D74" s="504"/>
      <c r="E74" s="504"/>
      <c r="F74" s="504"/>
      <c r="H74" s="46" t="e">
        <f>COUNTIFS(tbl_cleaning[Housing Team],"HOUSING EAST TEAM 2",#REF!,"&lt;&gt;NV")</f>
        <v>#REF!</v>
      </c>
      <c r="I74" s="10"/>
      <c r="J74" s="46" t="e" cm="1">
        <f t="array" ref="J74">SUM(COUNTIFS(tbl_cleaning[Housing Team],"HOUSING EAST TEAM 2",#REF!,{"1","2","3","4"}))</f>
        <v>#REF!</v>
      </c>
      <c r="K74" s="10"/>
      <c r="L74" s="16" t="e">
        <f>J74/H74</f>
        <v>#REF!</v>
      </c>
      <c r="M74" s="10"/>
      <c r="N74" s="16">
        <f>$F$1</f>
        <v>1</v>
      </c>
      <c r="O74" s="8"/>
      <c r="P74" s="46" t="e">
        <f>COUNTIFS(tbl_cleaning[Housing Team],"HOUSING EAST TEAM 2",#REF!,3)+COUNTIFS(tbl_cleaning[Housing Team],"HOUSING EAST TEAM 2",#REF!,4)</f>
        <v>#REF!</v>
      </c>
      <c r="Q74" s="10"/>
      <c r="R74" s="16">
        <f t="shared" ref="R74:R77" si="30">IFERROR(P74/J74,0)</f>
        <v>0</v>
      </c>
      <c r="S74" s="10"/>
      <c r="T74" s="40">
        <f t="shared" ref="T74:T77" si="31">$Q$1</f>
        <v>0.9</v>
      </c>
      <c r="U74" s="8"/>
    </row>
    <row r="75" spans="1:21" ht="15.75" customHeight="1" x14ac:dyDescent="0.25">
      <c r="A75" s="512"/>
      <c r="B75" s="504" t="s">
        <v>11</v>
      </c>
      <c r="C75" s="504"/>
      <c r="D75" s="504"/>
      <c r="E75" s="504"/>
      <c r="F75" s="504"/>
      <c r="H75" s="46" t="e">
        <f>COUNTIFS(tbl_cleaning[Housing Team],"HOUSING EAST TEAM 2",#REF!,"&lt;&gt;NV")</f>
        <v>#REF!</v>
      </c>
      <c r="I75" s="10"/>
      <c r="J75" s="46" t="e" cm="1">
        <f t="array" ref="J75">SUM(COUNTIFS(tbl_cleaning[Housing Team],"HOUSING EAST TEAM 2",#REF!,{"1","2","3","4"}))</f>
        <v>#REF!</v>
      </c>
      <c r="K75" s="10"/>
      <c r="L75" s="16" t="e">
        <f>J75/H75</f>
        <v>#REF!</v>
      </c>
      <c r="M75" s="10"/>
      <c r="N75" s="16">
        <f>$F$1</f>
        <v>1</v>
      </c>
      <c r="O75" s="8"/>
      <c r="P75" s="46" t="e">
        <f>COUNTIFS(tbl_cleaning[Housing Team],"HOUSING EAST TEAM 2",#REF!,3)+COUNTIFS(tbl_cleaning[Housing Team],"HOUSING EAST TEAM 2",#REF!,4)</f>
        <v>#REF!</v>
      </c>
      <c r="Q75" s="10"/>
      <c r="R75" s="16">
        <f t="shared" si="30"/>
        <v>0</v>
      </c>
      <c r="S75" s="10"/>
      <c r="T75" s="40">
        <f t="shared" si="31"/>
        <v>0.9</v>
      </c>
      <c r="U75" s="8"/>
    </row>
    <row r="76" spans="1:21" ht="15.75" customHeight="1" x14ac:dyDescent="0.25">
      <c r="A76" s="512"/>
      <c r="B76" s="504" t="s">
        <v>12</v>
      </c>
      <c r="C76" s="504"/>
      <c r="D76" s="504"/>
      <c r="E76" s="504"/>
      <c r="F76" s="504"/>
      <c r="H76" s="46" t="e">
        <f>COUNTIFS(#REF!,"HOUSING EAST TEAM 2",#REF!,"&lt;&gt;NV")</f>
        <v>#REF!</v>
      </c>
      <c r="I76" s="10"/>
      <c r="J76" s="46" t="e">
        <f t="array" ref="J76">SUM(COUNTIFS(#REF!,"HOUSING EAST TEAM 2",#REF!,{"1","2","3","4"}))</f>
        <v>#REF!</v>
      </c>
      <c r="K76" s="10"/>
      <c r="L76" s="16" t="e">
        <f>J76/H76</f>
        <v>#REF!</v>
      </c>
      <c r="M76" s="10"/>
      <c r="N76" s="16">
        <f>$F$1</f>
        <v>1</v>
      </c>
      <c r="O76" s="8"/>
      <c r="P76" s="46" t="e">
        <f>COUNTIFS(#REF!,"HOUSING EAST TEAM 2",#REF!,3)+COUNTIFS(#REF!,"HOUSING EAST TEAM 2",#REF!,4)</f>
        <v>#REF!</v>
      </c>
      <c r="Q76" s="10"/>
      <c r="R76" s="16">
        <f t="shared" si="30"/>
        <v>0</v>
      </c>
      <c r="S76" s="10"/>
      <c r="T76" s="40">
        <f t="shared" si="31"/>
        <v>0.9</v>
      </c>
      <c r="U76" s="8"/>
    </row>
    <row r="77" spans="1:21" ht="15.75" customHeight="1" x14ac:dyDescent="0.25">
      <c r="A77" s="513"/>
      <c r="B77" s="504" t="s">
        <v>13</v>
      </c>
      <c r="C77" s="504"/>
      <c r="D77" s="504"/>
      <c r="E77" s="504"/>
      <c r="F77" s="504"/>
      <c r="H77" s="46" t="e">
        <f>H74+H75+H76</f>
        <v>#REF!</v>
      </c>
      <c r="I77" s="10"/>
      <c r="J77" s="46" t="e">
        <f>SUM(J74:J76)</f>
        <v>#REF!</v>
      </c>
      <c r="K77" s="10"/>
      <c r="L77" s="16" t="e">
        <f>J77/H77</f>
        <v>#REF!</v>
      </c>
      <c r="M77" s="10"/>
      <c r="N77" s="16">
        <f>$F$1</f>
        <v>1</v>
      </c>
      <c r="O77" s="8"/>
      <c r="P77" s="46" t="e">
        <f>SUM(P74:P76)</f>
        <v>#REF!</v>
      </c>
      <c r="Q77" s="10"/>
      <c r="R77" s="16">
        <f t="shared" si="30"/>
        <v>0</v>
      </c>
      <c r="S77" s="10"/>
      <c r="T77" s="40">
        <f t="shared" si="31"/>
        <v>0.9</v>
      </c>
      <c r="U77" s="8"/>
    </row>
    <row r="78" spans="1:21" ht="15.75" customHeight="1" x14ac:dyDescent="0.25">
      <c r="H78"/>
      <c r="J78"/>
      <c r="P78"/>
    </row>
    <row r="79" spans="1:21" ht="15.75" customHeight="1" x14ac:dyDescent="0.25">
      <c r="A79" s="510" t="s">
        <v>1365</v>
      </c>
      <c r="B79" s="504" t="s">
        <v>10</v>
      </c>
      <c r="C79" s="504"/>
      <c r="D79" s="504"/>
      <c r="E79" s="504"/>
      <c r="F79" s="504"/>
      <c r="H79" s="46" t="e">
        <f>COUNTIFS(tbl_cleaning[Housing Team],"HOUSING EAST TEAM 3",#REF!,"&lt;&gt;NV")</f>
        <v>#REF!</v>
      </c>
      <c r="I79" s="10"/>
      <c r="J79" s="46" t="e" cm="1">
        <f t="array" ref="J79">SUM(COUNTIFS(tbl_cleaning[Housing Team],"HOUSING EAST TEAM 3",#REF!,{"1","2","3","4"}))</f>
        <v>#REF!</v>
      </c>
      <c r="K79" s="10"/>
      <c r="L79" s="16" t="e">
        <f>J79/H79</f>
        <v>#REF!</v>
      </c>
      <c r="M79" s="10"/>
      <c r="N79" s="16">
        <f>$F$1</f>
        <v>1</v>
      </c>
      <c r="O79" s="8"/>
      <c r="P79" s="46" t="e">
        <f>COUNTIFS(tbl_cleaning[Housing Team],"HOUSING EAST TEAM 3",#REF!,3)+COUNTIFS(tbl_cleaning[Housing Team],"HOUSING EAST TEAM 3",#REF!,4)</f>
        <v>#REF!</v>
      </c>
      <c r="Q79" s="10"/>
      <c r="R79" s="16">
        <f t="shared" ref="R79:R82" si="32">IFERROR(P79/J79,0)</f>
        <v>0</v>
      </c>
      <c r="S79" s="10"/>
      <c r="T79" s="40">
        <f t="shared" ref="T79:T82" si="33">$Q$1</f>
        <v>0.9</v>
      </c>
      <c r="U79" s="8"/>
    </row>
    <row r="80" spans="1:21" ht="15.75" customHeight="1" x14ac:dyDescent="0.25">
      <c r="A80" s="512"/>
      <c r="B80" s="504" t="s">
        <v>11</v>
      </c>
      <c r="C80" s="504"/>
      <c r="D80" s="504"/>
      <c r="E80" s="504"/>
      <c r="F80" s="504"/>
      <c r="H80" s="46" t="e">
        <f>COUNTIFS(tbl_cleaning[Housing Team],"HOUSING EAST TEAM 3",#REF!,"&lt;&gt;NV")</f>
        <v>#REF!</v>
      </c>
      <c r="I80" s="10"/>
      <c r="J80" s="46" t="e" cm="1">
        <f t="array" ref="J80">SUM(COUNTIFS(tbl_cleaning[Housing Team],"HOUSING EAST TEAM 3",#REF!,{"1","2","3","4"}))</f>
        <v>#REF!</v>
      </c>
      <c r="K80" s="10"/>
      <c r="L80" s="16" t="e">
        <f>J80/H80</f>
        <v>#REF!</v>
      </c>
      <c r="M80" s="10"/>
      <c r="N80" s="16">
        <f>$F$1</f>
        <v>1</v>
      </c>
      <c r="O80" s="8"/>
      <c r="P80" s="46" t="e">
        <f>COUNTIFS(tbl_cleaning[Housing Team],"HOUSING EAST TEAM 3",#REF!,3)+COUNTIFS(tbl_cleaning[Housing Team],"HOUSING EAST TEAM 3",#REF!,4)</f>
        <v>#REF!</v>
      </c>
      <c r="Q80" s="10"/>
      <c r="R80" s="16">
        <f t="shared" si="32"/>
        <v>0</v>
      </c>
      <c r="S80" s="10"/>
      <c r="T80" s="40">
        <f t="shared" si="33"/>
        <v>0.9</v>
      </c>
      <c r="U80" s="8"/>
    </row>
    <row r="81" spans="1:21" ht="15.75" customHeight="1" x14ac:dyDescent="0.25">
      <c r="A81" s="512"/>
      <c r="B81" s="504" t="s">
        <v>12</v>
      </c>
      <c r="C81" s="504"/>
      <c r="D81" s="504"/>
      <c r="E81" s="504"/>
      <c r="F81" s="504"/>
      <c r="H81" s="46" t="e">
        <f>COUNTIFS(#REF!,"HOUSING EAST TEAM 3",#REF!,"&lt;&gt;NV")</f>
        <v>#REF!</v>
      </c>
      <c r="I81" s="10"/>
      <c r="J81" s="46" t="e">
        <f t="array" ref="J81">SUM(COUNTIFS(#REF!,"HOUSING EAST TEAM 3",#REF!,{"1","2","3","4"}))</f>
        <v>#REF!</v>
      </c>
      <c r="K81" s="10"/>
      <c r="L81" s="16" t="e">
        <f>J81/H81</f>
        <v>#REF!</v>
      </c>
      <c r="M81" s="10"/>
      <c r="N81" s="16">
        <f>$F$1</f>
        <v>1</v>
      </c>
      <c r="O81" s="8"/>
      <c r="P81" s="46" t="e">
        <f>COUNTIFS(#REF!,"HOUSING EAST TEAM 3",#REF!,3)+COUNTIFS(#REF!,"HOUSING EAST TEAM 3",#REF!,4)</f>
        <v>#REF!</v>
      </c>
      <c r="Q81" s="10"/>
      <c r="R81" s="16">
        <f t="shared" si="32"/>
        <v>0</v>
      </c>
      <c r="S81" s="10"/>
      <c r="T81" s="40">
        <f t="shared" si="33"/>
        <v>0.9</v>
      </c>
      <c r="U81" s="8"/>
    </row>
    <row r="82" spans="1:21" ht="15.75" customHeight="1" x14ac:dyDescent="0.25">
      <c r="A82" s="513"/>
      <c r="B82" s="504" t="s">
        <v>13</v>
      </c>
      <c r="C82" s="504"/>
      <c r="D82" s="504"/>
      <c r="E82" s="504"/>
      <c r="F82" s="504"/>
      <c r="H82" s="46" t="e">
        <f>H79+H80+H81</f>
        <v>#REF!</v>
      </c>
      <c r="I82" s="10"/>
      <c r="J82" s="46" t="e">
        <f>SUM(J79:J81)</f>
        <v>#REF!</v>
      </c>
      <c r="K82" s="10"/>
      <c r="L82" s="16" t="e">
        <f>J82/H82</f>
        <v>#REF!</v>
      </c>
      <c r="M82" s="10"/>
      <c r="N82" s="16">
        <f>$F$1</f>
        <v>1</v>
      </c>
      <c r="O82" s="8"/>
      <c r="P82" s="46" t="e">
        <f>SUM(P79:P81)</f>
        <v>#REF!</v>
      </c>
      <c r="Q82" s="10"/>
      <c r="R82" s="16">
        <f t="shared" si="32"/>
        <v>0</v>
      </c>
      <c r="S82" s="10"/>
      <c r="T82" s="40">
        <f t="shared" si="33"/>
        <v>0.9</v>
      </c>
      <c r="U82" s="8"/>
    </row>
    <row r="83" spans="1:21" ht="15.75" customHeight="1" x14ac:dyDescent="0.25">
      <c r="H83"/>
      <c r="J83"/>
      <c r="P83"/>
    </row>
    <row r="84" spans="1:21" ht="15.75" customHeight="1" x14ac:dyDescent="0.25">
      <c r="A84" s="510" t="s">
        <v>1378</v>
      </c>
      <c r="B84" s="504" t="s">
        <v>10</v>
      </c>
      <c r="C84" s="504"/>
      <c r="D84" s="504"/>
      <c r="E84" s="504"/>
      <c r="F84" s="504"/>
      <c r="H84" s="46" t="e">
        <f>COUNTIFS(tbl_cleaning[Housing Team],"HOUSING EAST TEAM 4",#REF!,"&lt;&gt;NV")</f>
        <v>#REF!</v>
      </c>
      <c r="I84" s="10"/>
      <c r="J84" s="46" t="e" cm="1">
        <f t="array" ref="J84">SUM(COUNTIFS(tbl_cleaning[Housing Team],"HOUSING EAST TEAM 4",#REF!,{"1","2","3","4"}))</f>
        <v>#REF!</v>
      </c>
      <c r="K84" s="10"/>
      <c r="L84" s="16" t="e">
        <f>J84/H84</f>
        <v>#REF!</v>
      </c>
      <c r="M84" s="10"/>
      <c r="N84" s="16">
        <f>$F$1</f>
        <v>1</v>
      </c>
      <c r="O84" s="8"/>
      <c r="P84" s="46" t="e">
        <f>COUNTIFS(tbl_cleaning[Housing Team],"HOUSING EAST TEAM 4",#REF!,3)+COUNTIFS(tbl_cleaning[Housing Team],"HOUSING EAST TEAM 4",#REF!,4)</f>
        <v>#REF!</v>
      </c>
      <c r="Q84" s="10"/>
      <c r="R84" s="16">
        <f t="shared" ref="R84:R87" si="34">IFERROR(P84/J84,0)</f>
        <v>0</v>
      </c>
      <c r="S84" s="10"/>
      <c r="T84" s="40">
        <f t="shared" ref="T84:T87" si="35">$Q$1</f>
        <v>0.9</v>
      </c>
      <c r="U84" s="8"/>
    </row>
    <row r="85" spans="1:21" ht="15.75" customHeight="1" x14ac:dyDescent="0.25">
      <c r="A85" s="512"/>
      <c r="B85" s="504" t="s">
        <v>11</v>
      </c>
      <c r="C85" s="504"/>
      <c r="D85" s="504"/>
      <c r="E85" s="504"/>
      <c r="F85" s="504"/>
      <c r="H85" s="46" t="e">
        <f>COUNTIFS(tbl_cleaning[Housing Team],"HOUSING EAST TEAM 4",#REF!,"&lt;&gt;NV")</f>
        <v>#REF!</v>
      </c>
      <c r="I85" s="10"/>
      <c r="J85" s="46" t="e" cm="1">
        <f t="array" ref="J85">SUM(COUNTIFS(tbl_cleaning[Housing Team],"HOUSING EAST TEAM 4",#REF!,{"1","2","3","4"}))</f>
        <v>#REF!</v>
      </c>
      <c r="K85" s="10"/>
      <c r="L85" s="16" t="e">
        <f>J85/H85</f>
        <v>#REF!</v>
      </c>
      <c r="M85" s="10"/>
      <c r="N85" s="16">
        <f>$F$1</f>
        <v>1</v>
      </c>
      <c r="O85" s="8"/>
      <c r="P85" s="46" t="e">
        <f>COUNTIFS(tbl_cleaning[Housing Team],"HOUSING EAST TEAM 4",#REF!,3)+COUNTIFS(tbl_cleaning[Housing Team],"HOUSING EAST TEAM 4",#REF!,4)</f>
        <v>#REF!</v>
      </c>
      <c r="Q85" s="10"/>
      <c r="R85" s="16">
        <f t="shared" si="34"/>
        <v>0</v>
      </c>
      <c r="S85" s="10"/>
      <c r="T85" s="40">
        <f t="shared" si="35"/>
        <v>0.9</v>
      </c>
      <c r="U85" s="8"/>
    </row>
    <row r="86" spans="1:21" ht="15.75" customHeight="1" x14ac:dyDescent="0.25">
      <c r="A86" s="512"/>
      <c r="B86" s="504" t="s">
        <v>12</v>
      </c>
      <c r="C86" s="504"/>
      <c r="D86" s="504"/>
      <c r="E86" s="504"/>
      <c r="F86" s="504"/>
      <c r="H86" s="46" t="e">
        <f>COUNTIFS(#REF!,"HOUSING EAST TEAM 4",#REF!,"&lt;&gt;NV")</f>
        <v>#REF!</v>
      </c>
      <c r="I86" s="10"/>
      <c r="J86" s="46" t="e">
        <f t="array" ref="J86">SUM(COUNTIFS(#REF!,"HOUSING EAST TEAM 4",#REF!,{"1","2","3","4"}))</f>
        <v>#REF!</v>
      </c>
      <c r="K86" s="10"/>
      <c r="L86" s="16" t="e">
        <f>J86/H86</f>
        <v>#REF!</v>
      </c>
      <c r="M86" s="10"/>
      <c r="N86" s="16">
        <f>$F$1</f>
        <v>1</v>
      </c>
      <c r="O86" s="8"/>
      <c r="P86" s="46" t="e">
        <f>COUNTIFS(#REF!,"HOUSING EAST TEAM 4",#REF!,3)+COUNTIFS(#REF!,"HOUSING EAST TEAM 4",#REF!,4)</f>
        <v>#REF!</v>
      </c>
      <c r="Q86" s="10"/>
      <c r="R86" s="16">
        <f t="shared" si="34"/>
        <v>0</v>
      </c>
      <c r="S86" s="10"/>
      <c r="T86" s="40">
        <f t="shared" si="35"/>
        <v>0.9</v>
      </c>
      <c r="U86" s="8"/>
    </row>
    <row r="87" spans="1:21" ht="15.75" customHeight="1" x14ac:dyDescent="0.25">
      <c r="A87" s="513"/>
      <c r="B87" s="504" t="s">
        <v>13</v>
      </c>
      <c r="C87" s="504"/>
      <c r="D87" s="504"/>
      <c r="E87" s="504"/>
      <c r="F87" s="504"/>
      <c r="H87" s="46" t="e">
        <f>H84+H85+H86</f>
        <v>#REF!</v>
      </c>
      <c r="I87" s="10"/>
      <c r="J87" s="46" t="e">
        <f>SUM(J84:J86)</f>
        <v>#REF!</v>
      </c>
      <c r="K87" s="10"/>
      <c r="L87" s="16" t="e">
        <f>J87/H87</f>
        <v>#REF!</v>
      </c>
      <c r="M87" s="10"/>
      <c r="N87" s="16">
        <f>$F$1</f>
        <v>1</v>
      </c>
      <c r="O87" s="8"/>
      <c r="P87" s="46" t="e">
        <f>SUM(P84:P86)</f>
        <v>#REF!</v>
      </c>
      <c r="Q87" s="10"/>
      <c r="R87" s="16">
        <f t="shared" si="34"/>
        <v>0</v>
      </c>
      <c r="S87" s="10"/>
      <c r="T87" s="40">
        <f t="shared" si="35"/>
        <v>0.9</v>
      </c>
      <c r="U87" s="8"/>
    </row>
    <row r="88" spans="1:21" ht="15.75" customHeight="1" x14ac:dyDescent="0.25">
      <c r="H88"/>
      <c r="J88"/>
      <c r="P88"/>
    </row>
    <row r="89" spans="1:21" ht="15.75" customHeight="1" x14ac:dyDescent="0.25">
      <c r="A89" s="514" t="s">
        <v>1372</v>
      </c>
      <c r="B89" s="504" t="s">
        <v>10</v>
      </c>
      <c r="C89" s="504"/>
      <c r="D89" s="504"/>
      <c r="E89" s="504"/>
      <c r="F89" s="504"/>
      <c r="H89" s="46" t="e">
        <f>COUNTIFS(tbl_cleaning[Housing Team],"HOUSING NORTH TEAM 1",#REF!,"&lt;&gt;NV")</f>
        <v>#REF!</v>
      </c>
      <c r="I89" s="10"/>
      <c r="J89" s="46" t="e" cm="1">
        <f t="array" ref="J89">SUM(COUNTIFS(tbl_cleaning[Housing Team],"HOUSING NORTH TEAM 1",#REF!,{"1","2","3","4"}))</f>
        <v>#REF!</v>
      </c>
      <c r="K89" s="10"/>
      <c r="L89" s="16" t="e">
        <f>J89/H89</f>
        <v>#REF!</v>
      </c>
      <c r="M89" s="10"/>
      <c r="N89" s="16">
        <f>$F$1</f>
        <v>1</v>
      </c>
      <c r="O89" s="8"/>
      <c r="P89" s="46" t="e">
        <f>COUNTIFS(tbl_cleaning[Housing Team],"HOUSING NORTH TEAM 1",#REF!,3)+COUNTIFS(tbl_cleaning[Housing Team],"HOUSING NORTH TEAM 1",#REF!,4)</f>
        <v>#REF!</v>
      </c>
      <c r="Q89" s="10"/>
      <c r="R89" s="16">
        <f t="shared" ref="R89:R92" si="36">IFERROR(P89/J89,0)</f>
        <v>0</v>
      </c>
      <c r="S89" s="10"/>
      <c r="T89" s="40">
        <f t="shared" ref="T89:T92" si="37">$Q$1</f>
        <v>0.9</v>
      </c>
      <c r="U89" s="8"/>
    </row>
    <row r="90" spans="1:21" ht="15.75" customHeight="1" x14ac:dyDescent="0.25">
      <c r="A90" s="515"/>
      <c r="B90" s="504" t="s">
        <v>11</v>
      </c>
      <c r="C90" s="504"/>
      <c r="D90" s="504"/>
      <c r="E90" s="504"/>
      <c r="F90" s="504"/>
      <c r="H90" s="46" t="e">
        <f>COUNTIFS(tbl_cleaning[Housing Team],"HOUSING NORTH TEAM 1",#REF!,"&lt;&gt;NV")</f>
        <v>#REF!</v>
      </c>
      <c r="I90" s="10"/>
      <c r="J90" s="46" t="e" cm="1">
        <f t="array" ref="J90">SUM(COUNTIFS(tbl_cleaning[Housing Team],"HOUSING NORTH TEAM 1",#REF!,{"1","2","3","4"}))</f>
        <v>#REF!</v>
      </c>
      <c r="K90" s="10"/>
      <c r="L90" s="16" t="e">
        <f>J90/H90</f>
        <v>#REF!</v>
      </c>
      <c r="M90" s="10"/>
      <c r="N90" s="16">
        <f>$F$1</f>
        <v>1</v>
      </c>
      <c r="O90" s="8"/>
      <c r="P90" s="46" t="e">
        <f>COUNTIFS(tbl_cleaning[Housing Team],"HOUSING NORTH TEAM 1",#REF!,3)+COUNTIFS(tbl_cleaning[Housing Team],"HOUSING NORTH TEAM 1",#REF!,4)</f>
        <v>#REF!</v>
      </c>
      <c r="Q90" s="10"/>
      <c r="R90" s="16">
        <f t="shared" si="36"/>
        <v>0</v>
      </c>
      <c r="S90" s="10"/>
      <c r="T90" s="40">
        <f t="shared" si="37"/>
        <v>0.9</v>
      </c>
      <c r="U90" s="8"/>
    </row>
    <row r="91" spans="1:21" ht="15.75" customHeight="1" x14ac:dyDescent="0.25">
      <c r="A91" s="515"/>
      <c r="B91" s="504" t="s">
        <v>12</v>
      </c>
      <c r="C91" s="504"/>
      <c r="D91" s="504"/>
      <c r="E91" s="504"/>
      <c r="F91" s="504"/>
      <c r="H91" s="46" t="e">
        <f>COUNTIFS(#REF!,"HOUSING NORTH TEAM 1",#REF!,"&lt;&gt;NV")</f>
        <v>#REF!</v>
      </c>
      <c r="I91" s="10"/>
      <c r="J91" s="46" t="e">
        <f t="array" ref="J91">SUM(COUNTIFS(#REF!,"HOUSING NORTH TEAM 1",#REF!,{"1","2","3","4"}))</f>
        <v>#REF!</v>
      </c>
      <c r="K91" s="10"/>
      <c r="L91" s="16" t="e">
        <f>J91/H91</f>
        <v>#REF!</v>
      </c>
      <c r="M91" s="10"/>
      <c r="N91" s="16">
        <f>$F$1</f>
        <v>1</v>
      </c>
      <c r="O91" s="8"/>
      <c r="P91" s="46" t="e">
        <f>COUNTIFS(#REF!,"HOUSING NORTH TEAM 1",#REF!,3)+COUNTIFS(#REF!,"HOUSING NORTH TEAM 1",#REF!,4)</f>
        <v>#REF!</v>
      </c>
      <c r="Q91" s="10"/>
      <c r="R91" s="16">
        <f t="shared" si="36"/>
        <v>0</v>
      </c>
      <c r="S91" s="10"/>
      <c r="T91" s="40">
        <f t="shared" si="37"/>
        <v>0.9</v>
      </c>
      <c r="U91" s="8"/>
    </row>
    <row r="92" spans="1:21" ht="15.75" customHeight="1" x14ac:dyDescent="0.25">
      <c r="A92" s="516"/>
      <c r="B92" s="504" t="s">
        <v>13</v>
      </c>
      <c r="C92" s="504"/>
      <c r="D92" s="504"/>
      <c r="E92" s="504"/>
      <c r="F92" s="504"/>
      <c r="H92" s="46" t="e">
        <f>H89+H90+H91</f>
        <v>#REF!</v>
      </c>
      <c r="I92" s="10"/>
      <c r="J92" s="46" t="e">
        <f>SUM(J89:J91)</f>
        <v>#REF!</v>
      </c>
      <c r="K92" s="10"/>
      <c r="L92" s="16" t="e">
        <f>J92/H92</f>
        <v>#REF!</v>
      </c>
      <c r="M92" s="10"/>
      <c r="N92" s="16">
        <f>$F$1</f>
        <v>1</v>
      </c>
      <c r="O92" s="8"/>
      <c r="P92" s="46" t="e">
        <f>SUM(P89:P91)</f>
        <v>#REF!</v>
      </c>
      <c r="Q92" s="10"/>
      <c r="R92" s="16">
        <f t="shared" si="36"/>
        <v>0</v>
      </c>
      <c r="S92" s="10"/>
      <c r="T92" s="40">
        <f t="shared" si="37"/>
        <v>0.9</v>
      </c>
      <c r="U92" s="8"/>
    </row>
    <row r="93" spans="1:21" ht="15.75" customHeight="1" x14ac:dyDescent="0.25">
      <c r="H93"/>
      <c r="J93"/>
      <c r="P93"/>
    </row>
    <row r="94" spans="1:21" ht="15.75" customHeight="1" x14ac:dyDescent="0.25">
      <c r="A94" s="514" t="s">
        <v>1368</v>
      </c>
      <c r="B94" s="504" t="s">
        <v>10</v>
      </c>
      <c r="C94" s="504"/>
      <c r="D94" s="504"/>
      <c r="E94" s="504"/>
      <c r="F94" s="504"/>
      <c r="H94" s="46" t="e">
        <f>COUNTIFS(tbl_cleaning[Housing Team],"HOUSING NORTH TEAM 2",#REF!,"&lt;&gt;NV")</f>
        <v>#REF!</v>
      </c>
      <c r="I94" s="10"/>
      <c r="J94" s="46" t="e" cm="1">
        <f t="array" ref="J94">SUM(COUNTIFS(tbl_cleaning[Housing Team],"HOUSING NORTH TEAM 2",#REF!,{"1","2","3","4"}))</f>
        <v>#REF!</v>
      </c>
      <c r="K94" s="10"/>
      <c r="L94" s="16" t="e">
        <f>J94/H94</f>
        <v>#REF!</v>
      </c>
      <c r="M94" s="10"/>
      <c r="N94" s="16">
        <f>$F$1</f>
        <v>1</v>
      </c>
      <c r="O94" s="8"/>
      <c r="P94" s="46" t="e">
        <f>COUNTIFS(tbl_cleaning[Housing Team],"HOUSING NORTH TEAM 2",#REF!,3)+COUNTIFS(tbl_cleaning[Housing Team],"HOUSING NORTH TEAM 2",#REF!,4)</f>
        <v>#REF!</v>
      </c>
      <c r="Q94" s="10"/>
      <c r="R94" s="16">
        <f t="shared" ref="R94:R97" si="38">IFERROR(P94/J94,0)</f>
        <v>0</v>
      </c>
      <c r="S94" s="10"/>
      <c r="T94" s="40">
        <f t="shared" ref="T94:T97" si="39">$Q$1</f>
        <v>0.9</v>
      </c>
      <c r="U94" s="8"/>
    </row>
    <row r="95" spans="1:21" ht="15.75" customHeight="1" x14ac:dyDescent="0.25">
      <c r="A95" s="515"/>
      <c r="B95" s="504" t="s">
        <v>11</v>
      </c>
      <c r="C95" s="504"/>
      <c r="D95" s="504"/>
      <c r="E95" s="504"/>
      <c r="F95" s="504"/>
      <c r="H95" s="46" t="e">
        <f>COUNTIFS(tbl_cleaning[Housing Team],"HOUSING NORTH TEAM 2",#REF!,"&lt;&gt;NV")</f>
        <v>#REF!</v>
      </c>
      <c r="I95" s="10"/>
      <c r="J95" s="46" t="e" cm="1">
        <f t="array" ref="J95">SUM(COUNTIFS(tbl_cleaning[Housing Team],"HOUSING NORTH TEAM 2",#REF!,{"1","2","3","4"}))</f>
        <v>#REF!</v>
      </c>
      <c r="K95" s="10"/>
      <c r="L95" s="16" t="e">
        <f>J95/H95</f>
        <v>#REF!</v>
      </c>
      <c r="M95" s="10"/>
      <c r="N95" s="16">
        <f>$F$1</f>
        <v>1</v>
      </c>
      <c r="O95" s="8"/>
      <c r="P95" s="46" t="e">
        <f>COUNTIFS(tbl_cleaning[Housing Team],"HOUSING NORTH TEAM 2",#REF!,3)+COUNTIFS(tbl_cleaning[Housing Team],"HOUSING NORTH TEAM 2",#REF!,4)</f>
        <v>#REF!</v>
      </c>
      <c r="Q95" s="10"/>
      <c r="R95" s="16">
        <f t="shared" si="38"/>
        <v>0</v>
      </c>
      <c r="S95" s="10"/>
      <c r="T95" s="40">
        <f t="shared" si="39"/>
        <v>0.9</v>
      </c>
      <c r="U95" s="8"/>
    </row>
    <row r="96" spans="1:21" ht="15.75" customHeight="1" x14ac:dyDescent="0.25">
      <c r="A96" s="515"/>
      <c r="B96" s="504" t="s">
        <v>12</v>
      </c>
      <c r="C96" s="504"/>
      <c r="D96" s="504"/>
      <c r="E96" s="504"/>
      <c r="F96" s="504"/>
      <c r="H96" s="46" t="e">
        <f>COUNTIFS(#REF!,"HOUSING NORTH TEAM 2",#REF!,"&lt;&gt;NV")</f>
        <v>#REF!</v>
      </c>
      <c r="I96" s="10"/>
      <c r="J96" s="46" t="e">
        <f t="array" ref="J96">SUM(COUNTIFS(#REF!,"HOUSING NORTH TEAM 2",#REF!,{"1","2","3","4"}))</f>
        <v>#REF!</v>
      </c>
      <c r="K96" s="10"/>
      <c r="L96" s="16" t="e">
        <f>J96/H96</f>
        <v>#REF!</v>
      </c>
      <c r="M96" s="10"/>
      <c r="N96" s="16">
        <f>$F$1</f>
        <v>1</v>
      </c>
      <c r="O96" s="8"/>
      <c r="P96" s="46" t="e">
        <f>COUNTIFS(#REF!,"HOUSING NORTH TEAM 2",#REF!,3)+COUNTIFS(#REF!,"HOUSING NORTH TEAM 2",#REF!,4)</f>
        <v>#REF!</v>
      </c>
      <c r="Q96" s="10"/>
      <c r="R96" s="16">
        <f t="shared" si="38"/>
        <v>0</v>
      </c>
      <c r="S96" s="10"/>
      <c r="T96" s="40">
        <f t="shared" si="39"/>
        <v>0.9</v>
      </c>
      <c r="U96" s="8"/>
    </row>
    <row r="97" spans="1:21" ht="15.75" customHeight="1" x14ac:dyDescent="0.25">
      <c r="A97" s="516"/>
      <c r="B97" s="504" t="s">
        <v>13</v>
      </c>
      <c r="C97" s="504"/>
      <c r="D97" s="504"/>
      <c r="E97" s="504"/>
      <c r="F97" s="504"/>
      <c r="H97" s="46" t="e">
        <f>H94+H95+H96</f>
        <v>#REF!</v>
      </c>
      <c r="I97" s="10"/>
      <c r="J97" s="46" t="e">
        <f>SUM(J94:J96)</f>
        <v>#REF!</v>
      </c>
      <c r="K97" s="10"/>
      <c r="L97" s="16" t="e">
        <f>J97/H97</f>
        <v>#REF!</v>
      </c>
      <c r="M97" s="10"/>
      <c r="N97" s="16">
        <f>$F$1</f>
        <v>1</v>
      </c>
      <c r="O97" s="8"/>
      <c r="P97" s="46" t="e">
        <f>SUM(P94:P96)</f>
        <v>#REF!</v>
      </c>
      <c r="Q97" s="10"/>
      <c r="R97" s="16">
        <f t="shared" si="38"/>
        <v>0</v>
      </c>
      <c r="S97" s="10"/>
      <c r="T97" s="40">
        <f t="shared" si="39"/>
        <v>0.9</v>
      </c>
      <c r="U97" s="8"/>
    </row>
    <row r="98" spans="1:21" ht="15.75" customHeight="1" x14ac:dyDescent="0.25">
      <c r="H98"/>
      <c r="J98"/>
      <c r="P98"/>
    </row>
    <row r="99" spans="1:21" ht="15.75" customHeight="1" x14ac:dyDescent="0.25">
      <c r="A99" s="514" t="s">
        <v>1380</v>
      </c>
      <c r="B99" s="504" t="s">
        <v>10</v>
      </c>
      <c r="C99" s="504"/>
      <c r="D99" s="504"/>
      <c r="E99" s="504"/>
      <c r="F99" s="504"/>
      <c r="H99" s="46" t="e">
        <f>COUNTIFS(tbl_cleaning[Housing Team],"HOUSING NORTH TEAM 3",#REF!,"&lt;&gt;NV")</f>
        <v>#REF!</v>
      </c>
      <c r="I99" s="10"/>
      <c r="J99" s="46" t="e" cm="1">
        <f t="array" ref="J99">SUM(COUNTIFS(tbl_cleaning[Housing Team],"HOUSING NORTH TEAM 3",#REF!,{"1","2","3","4"}))</f>
        <v>#REF!</v>
      </c>
      <c r="K99" s="10"/>
      <c r="L99" s="16" t="e">
        <f>J99/H99</f>
        <v>#REF!</v>
      </c>
      <c r="M99" s="10"/>
      <c r="N99" s="16">
        <f>$F$1</f>
        <v>1</v>
      </c>
      <c r="O99" s="8"/>
      <c r="P99" s="46" t="e">
        <f>COUNTIFS(tbl_cleaning[Housing Team],"HOUSING NORTH TEAM 3",#REF!,3)+COUNTIFS(tbl_cleaning[Housing Team],"HOUSING NORTH TEAM 3",#REF!,4)</f>
        <v>#REF!</v>
      </c>
      <c r="Q99" s="10"/>
      <c r="R99" s="16">
        <f t="shared" ref="R99:R102" si="40">IFERROR(P99/J99,0)</f>
        <v>0</v>
      </c>
      <c r="S99" s="10"/>
      <c r="T99" s="40">
        <f t="shared" ref="T99:T102" si="41">$Q$1</f>
        <v>0.9</v>
      </c>
      <c r="U99" s="8"/>
    </row>
    <row r="100" spans="1:21" ht="15.75" customHeight="1" x14ac:dyDescent="0.25">
      <c r="A100" s="515"/>
      <c r="B100" s="504" t="s">
        <v>11</v>
      </c>
      <c r="C100" s="504"/>
      <c r="D100" s="504"/>
      <c r="E100" s="504"/>
      <c r="F100" s="504"/>
      <c r="H100" s="46" t="e">
        <f>COUNTIFS(tbl_cleaning[Housing Team],"HOUSING NORTH TEAM 3",#REF!,"&lt;&gt;NV")</f>
        <v>#REF!</v>
      </c>
      <c r="I100" s="10"/>
      <c r="J100" s="46" t="e" cm="1">
        <f t="array" ref="J100">SUM(COUNTIFS(tbl_cleaning[Housing Team],"HOUSING NORTH TEAM 3",#REF!,{"1","2","3","4"}))</f>
        <v>#REF!</v>
      </c>
      <c r="K100" s="10"/>
      <c r="L100" s="16" t="e">
        <f>J100/H100</f>
        <v>#REF!</v>
      </c>
      <c r="M100" s="10"/>
      <c r="N100" s="16">
        <f>$F$1</f>
        <v>1</v>
      </c>
      <c r="O100" s="8"/>
      <c r="P100" s="46" t="e">
        <f>COUNTIFS(tbl_cleaning[Housing Team],"HOUSING NORTH TEAM 3",#REF!,3)+COUNTIFS(tbl_cleaning[Housing Team],"HOUSING NORTH TEAM 3",#REF!,4)</f>
        <v>#REF!</v>
      </c>
      <c r="Q100" s="10"/>
      <c r="R100" s="16">
        <f t="shared" si="40"/>
        <v>0</v>
      </c>
      <c r="S100" s="10"/>
      <c r="T100" s="40">
        <f t="shared" si="41"/>
        <v>0.9</v>
      </c>
      <c r="U100" s="8"/>
    </row>
    <row r="101" spans="1:21" ht="15.75" customHeight="1" x14ac:dyDescent="0.25">
      <c r="A101" s="515"/>
      <c r="B101" s="504" t="s">
        <v>12</v>
      </c>
      <c r="C101" s="504"/>
      <c r="D101" s="504"/>
      <c r="E101" s="504"/>
      <c r="F101" s="504"/>
      <c r="H101" s="46" t="e">
        <f>COUNTIFS(#REF!,"HOUSING NORTH TEAM 3",#REF!,"&lt;&gt;NV")</f>
        <v>#REF!</v>
      </c>
      <c r="I101" s="10"/>
      <c r="J101" s="46" t="e">
        <f t="array" ref="J101">SUM(COUNTIFS(#REF!,"HOUSING NORTH TEAM 3",#REF!,{"1","2","3","4"}))</f>
        <v>#REF!</v>
      </c>
      <c r="K101" s="10"/>
      <c r="L101" s="16" t="e">
        <f>J101/H101</f>
        <v>#REF!</v>
      </c>
      <c r="M101" s="10"/>
      <c r="N101" s="16">
        <f>$F$1</f>
        <v>1</v>
      </c>
      <c r="O101" s="8"/>
      <c r="P101" s="46" t="e">
        <f>COUNTIFS(#REF!,"HOUSING NORTH TEAM 3",#REF!,3)+COUNTIFS(#REF!,"HOUSING NORTH TEAM 3",#REF!,4)</f>
        <v>#REF!</v>
      </c>
      <c r="Q101" s="10"/>
      <c r="R101" s="16">
        <f t="shared" si="40"/>
        <v>0</v>
      </c>
      <c r="S101" s="10"/>
      <c r="T101" s="40">
        <f t="shared" si="41"/>
        <v>0.9</v>
      </c>
      <c r="U101" s="8"/>
    </row>
    <row r="102" spans="1:21" ht="15.75" customHeight="1" x14ac:dyDescent="0.25">
      <c r="A102" s="516"/>
      <c r="B102" s="504" t="s">
        <v>13</v>
      </c>
      <c r="C102" s="504"/>
      <c r="D102" s="504"/>
      <c r="E102" s="504"/>
      <c r="F102" s="504"/>
      <c r="H102" s="46" t="e">
        <f>H99+H100+H101</f>
        <v>#REF!</v>
      </c>
      <c r="I102" s="10"/>
      <c r="J102" s="46" t="e">
        <f>SUM(J99:J101)</f>
        <v>#REF!</v>
      </c>
      <c r="K102" s="10"/>
      <c r="L102" s="16" t="e">
        <f>J102/H102</f>
        <v>#REF!</v>
      </c>
      <c r="M102" s="10"/>
      <c r="N102" s="16">
        <f>$F$1</f>
        <v>1</v>
      </c>
      <c r="O102" s="8"/>
      <c r="P102" s="46" t="e">
        <f>SUM(P99:P101)</f>
        <v>#REF!</v>
      </c>
      <c r="Q102" s="10"/>
      <c r="R102" s="16">
        <f t="shared" si="40"/>
        <v>0</v>
      </c>
      <c r="S102" s="10"/>
      <c r="T102" s="40">
        <f t="shared" si="41"/>
        <v>0.9</v>
      </c>
      <c r="U102" s="8"/>
    </row>
    <row r="103" spans="1:21" ht="15.75" customHeight="1" x14ac:dyDescent="0.25">
      <c r="H103"/>
      <c r="J103"/>
      <c r="P103"/>
    </row>
    <row r="104" spans="1:21" ht="15.75" customHeight="1" x14ac:dyDescent="0.25">
      <c r="A104" s="514" t="s">
        <v>1364</v>
      </c>
      <c r="B104" s="504" t="s">
        <v>10</v>
      </c>
      <c r="C104" s="504"/>
      <c r="D104" s="504"/>
      <c r="E104" s="504"/>
      <c r="F104" s="504"/>
      <c r="H104" s="46" t="e">
        <f>COUNTIFS(tbl_cleaning[Housing Team],"HOUSING NORTH TEAM 4",#REF!,"&lt;&gt;NV")</f>
        <v>#REF!</v>
      </c>
      <c r="I104" s="10"/>
      <c r="J104" s="46" t="e" cm="1">
        <f t="array" ref="J104">SUM(COUNTIFS(tbl_cleaning[Housing Team],"HOUSING NORTH TEAM 4",#REF!,{"1","2","3","4"}))</f>
        <v>#REF!</v>
      </c>
      <c r="K104" s="10"/>
      <c r="L104" s="16" t="e">
        <f>J104/H104</f>
        <v>#REF!</v>
      </c>
      <c r="M104" s="10"/>
      <c r="N104" s="16">
        <f>$F$1</f>
        <v>1</v>
      </c>
      <c r="O104" s="8"/>
      <c r="P104" s="46" t="e">
        <f>COUNTIFS(tbl_cleaning[Housing Team],"HOUSING NORTH TEAM 4",#REF!,3)+COUNTIFS(tbl_cleaning[Housing Team],"HOUSING NORTH TEAM 4",#REF!,4)</f>
        <v>#REF!</v>
      </c>
      <c r="Q104" s="10"/>
      <c r="R104" s="16">
        <f t="shared" ref="R104:R107" si="42">IFERROR(P104/J104,0)</f>
        <v>0</v>
      </c>
      <c r="S104" s="10"/>
      <c r="T104" s="40">
        <f t="shared" ref="T104:T107" si="43">$Q$1</f>
        <v>0.9</v>
      </c>
      <c r="U104" s="8"/>
    </row>
    <row r="105" spans="1:21" ht="15.75" customHeight="1" x14ac:dyDescent="0.25">
      <c r="A105" s="515"/>
      <c r="B105" s="504" t="s">
        <v>11</v>
      </c>
      <c r="C105" s="504"/>
      <c r="D105" s="504"/>
      <c r="E105" s="504"/>
      <c r="F105" s="504"/>
      <c r="H105" s="46" t="e">
        <f>COUNTIFS(tbl_cleaning[Housing Team],"HOUSING NORTH TEAM 4",#REF!,"&lt;&gt;NV")</f>
        <v>#REF!</v>
      </c>
      <c r="I105" s="10"/>
      <c r="J105" s="46" t="e" cm="1">
        <f t="array" ref="J105">SUM(COUNTIFS(tbl_cleaning[Housing Team],"HOUSING NORTH TEAM 4",#REF!,{"1","2","3","4"}))</f>
        <v>#REF!</v>
      </c>
      <c r="K105" s="10"/>
      <c r="L105" s="16" t="e">
        <f>J105/H105</f>
        <v>#REF!</v>
      </c>
      <c r="M105" s="10"/>
      <c r="N105" s="16">
        <f>$F$1</f>
        <v>1</v>
      </c>
      <c r="O105" s="8"/>
      <c r="P105" s="46" t="e">
        <f>COUNTIFS(tbl_cleaning[Housing Team],"HOUSING NORTH TEAM 4",#REF!,3)+COUNTIFS(tbl_cleaning[Housing Team],"HOUSING NORTH TEAM 4",#REF!,4)</f>
        <v>#REF!</v>
      </c>
      <c r="Q105" s="10"/>
      <c r="R105" s="16">
        <f t="shared" si="42"/>
        <v>0</v>
      </c>
      <c r="S105" s="10"/>
      <c r="T105" s="40">
        <f t="shared" si="43"/>
        <v>0.9</v>
      </c>
      <c r="U105" s="8"/>
    </row>
    <row r="106" spans="1:21" ht="15.75" customHeight="1" x14ac:dyDescent="0.25">
      <c r="A106" s="515"/>
      <c r="B106" s="504" t="s">
        <v>12</v>
      </c>
      <c r="C106" s="504"/>
      <c r="D106" s="504"/>
      <c r="E106" s="504"/>
      <c r="F106" s="504"/>
      <c r="H106" s="46" t="e">
        <f>COUNTIFS(#REF!,"HOUSING NORTH TEAM 4",#REF!,"&lt;&gt;NV")</f>
        <v>#REF!</v>
      </c>
      <c r="I106" s="10"/>
      <c r="J106" s="46" t="e">
        <f t="array" ref="J106">SUM(COUNTIFS(#REF!,"HOUSING NORTH TEAM 4",#REF!,{"1","2","3","4"}))</f>
        <v>#REF!</v>
      </c>
      <c r="K106" s="10"/>
      <c r="L106" s="16" t="e">
        <f>J106/H106</f>
        <v>#REF!</v>
      </c>
      <c r="M106" s="10"/>
      <c r="N106" s="16">
        <f>$F$1</f>
        <v>1</v>
      </c>
      <c r="O106" s="8"/>
      <c r="P106" s="46" t="e">
        <f>COUNTIFS(#REF!,"HOUSING NORTH TEAM 4",#REF!,3)+COUNTIFS(#REF!,"HOUSING NORTH TEAM 4",#REF!,4)</f>
        <v>#REF!</v>
      </c>
      <c r="Q106" s="10"/>
      <c r="R106" s="16">
        <f t="shared" si="42"/>
        <v>0</v>
      </c>
      <c r="S106" s="10"/>
      <c r="T106" s="40">
        <f t="shared" si="43"/>
        <v>0.9</v>
      </c>
      <c r="U106" s="8"/>
    </row>
    <row r="107" spans="1:21" ht="15.75" customHeight="1" x14ac:dyDescent="0.25">
      <c r="A107" s="516"/>
      <c r="B107" s="504" t="s">
        <v>13</v>
      </c>
      <c r="C107" s="504"/>
      <c r="D107" s="504"/>
      <c r="E107" s="504"/>
      <c r="F107" s="504"/>
      <c r="H107" s="46" t="e">
        <f>H104+H105+H106</f>
        <v>#REF!</v>
      </c>
      <c r="I107" s="10"/>
      <c r="J107" s="46" t="e">
        <f>SUM(J104:J106)</f>
        <v>#REF!</v>
      </c>
      <c r="K107" s="10"/>
      <c r="L107" s="16" t="e">
        <f>J107/H107</f>
        <v>#REF!</v>
      </c>
      <c r="M107" s="10"/>
      <c r="N107" s="16">
        <f>$F$1</f>
        <v>1</v>
      </c>
      <c r="O107" s="8"/>
      <c r="P107" s="46" t="e">
        <f>SUM(P104:P106)</f>
        <v>#REF!</v>
      </c>
      <c r="Q107" s="10"/>
      <c r="R107" s="16">
        <f t="shared" si="42"/>
        <v>0</v>
      </c>
      <c r="S107" s="10"/>
      <c r="T107" s="40">
        <f t="shared" si="43"/>
        <v>0.9</v>
      </c>
      <c r="U107" s="8"/>
    </row>
    <row r="108" spans="1:21" ht="15.75" customHeight="1" x14ac:dyDescent="0.25">
      <c r="H108"/>
      <c r="J108"/>
      <c r="P108"/>
    </row>
    <row r="109" spans="1:21" ht="15.75" customHeight="1" x14ac:dyDescent="0.25">
      <c r="A109" s="514" t="s">
        <v>1375</v>
      </c>
      <c r="B109" s="504" t="s">
        <v>10</v>
      </c>
      <c r="C109" s="504"/>
      <c r="D109" s="504"/>
      <c r="E109" s="504"/>
      <c r="F109" s="504"/>
      <c r="H109" s="46" t="e">
        <f>COUNTIFS(tbl_cleaning[Housing Team],"HOUSING NORTH TEAM 5",#REF!,"&lt;&gt;NV")</f>
        <v>#REF!</v>
      </c>
      <c r="I109" s="10"/>
      <c r="J109" s="46" t="e" cm="1">
        <f t="array" ref="J109">SUM(COUNTIFS(tbl_cleaning[Housing Team],"HOUSING NORTH TEAM 5",#REF!,{"1","2","3","4"}))</f>
        <v>#REF!</v>
      </c>
      <c r="K109" s="10"/>
      <c r="L109" s="16" t="e">
        <f>J109/H109</f>
        <v>#REF!</v>
      </c>
      <c r="M109" s="10"/>
      <c r="N109" s="16">
        <f>$F$1</f>
        <v>1</v>
      </c>
      <c r="O109" s="8"/>
      <c r="P109" s="46" t="e">
        <f>COUNTIFS(tbl_cleaning[Housing Team],"HOUSING NORTH TEAM 5",#REF!,3)+COUNTIFS(tbl_cleaning[Housing Team],"HOUSING NORTH TEAM 5",#REF!,4)</f>
        <v>#REF!</v>
      </c>
      <c r="Q109" s="10"/>
      <c r="R109" s="16">
        <f t="shared" ref="R109:R112" si="44">IFERROR(P109/J109,0)</f>
        <v>0</v>
      </c>
      <c r="S109" s="10"/>
      <c r="T109" s="40">
        <f t="shared" ref="T109:T112" si="45">$Q$1</f>
        <v>0.9</v>
      </c>
      <c r="U109" s="8"/>
    </row>
    <row r="110" spans="1:21" ht="15.75" customHeight="1" x14ac:dyDescent="0.25">
      <c r="A110" s="515"/>
      <c r="B110" s="504" t="s">
        <v>11</v>
      </c>
      <c r="C110" s="504"/>
      <c r="D110" s="504"/>
      <c r="E110" s="504"/>
      <c r="F110" s="504"/>
      <c r="H110" s="46" t="e">
        <f>COUNTIFS(tbl_cleaning[Housing Team],"HOUSING NORTH TEAM 5",#REF!,"&lt;&gt;NV")</f>
        <v>#REF!</v>
      </c>
      <c r="I110" s="10"/>
      <c r="J110" s="46" t="e" cm="1">
        <f t="array" ref="J110">SUM(COUNTIFS(tbl_cleaning[Housing Team],"HOUSING NORTH TEAM 5",#REF!,{"1","2","3","4"}))</f>
        <v>#REF!</v>
      </c>
      <c r="K110" s="10"/>
      <c r="L110" s="16" t="e">
        <f>J110/H110</f>
        <v>#REF!</v>
      </c>
      <c r="M110" s="10"/>
      <c r="N110" s="16">
        <f>$F$1</f>
        <v>1</v>
      </c>
      <c r="O110" s="8"/>
      <c r="P110" s="46" t="e">
        <f>COUNTIFS(tbl_cleaning[Housing Team],"HOUSING NORTH TEAM 5",#REF!,3)+COUNTIFS(tbl_cleaning[Housing Team],"HOUSING NORTH TEAM 5",#REF!,4)</f>
        <v>#REF!</v>
      </c>
      <c r="Q110" s="10"/>
      <c r="R110" s="16">
        <f t="shared" si="44"/>
        <v>0</v>
      </c>
      <c r="S110" s="10"/>
      <c r="T110" s="40">
        <f t="shared" si="45"/>
        <v>0.9</v>
      </c>
      <c r="U110" s="8"/>
    </row>
    <row r="111" spans="1:21" ht="15.75" customHeight="1" x14ac:dyDescent="0.25">
      <c r="A111" s="515"/>
      <c r="B111" s="504" t="s">
        <v>12</v>
      </c>
      <c r="C111" s="504"/>
      <c r="D111" s="504"/>
      <c r="E111" s="504"/>
      <c r="F111" s="504"/>
      <c r="H111" s="46" t="e">
        <f>COUNTIFS(#REF!,"HOUSING NORTH TEAM 5",#REF!,"&lt;&gt;NV")</f>
        <v>#REF!</v>
      </c>
      <c r="I111" s="10"/>
      <c r="J111" s="46" t="e">
        <f t="array" ref="J111">SUM(COUNTIFS(#REF!,"HOUSING NORTH TEAM 5",#REF!,{"1","2","3","4"}))</f>
        <v>#REF!</v>
      </c>
      <c r="K111" s="10"/>
      <c r="L111" s="16" t="e">
        <f>J111/H111</f>
        <v>#REF!</v>
      </c>
      <c r="M111" s="10"/>
      <c r="N111" s="16">
        <f>$F$1</f>
        <v>1</v>
      </c>
      <c r="O111" s="8"/>
      <c r="P111" s="46" t="e">
        <f>COUNTIFS(#REF!,"HOUSING NORTH TEAM 5",#REF!,3)+COUNTIFS(#REF!,"HOUSING NORTH TEAM 5",#REF!,4)</f>
        <v>#REF!</v>
      </c>
      <c r="Q111" s="10"/>
      <c r="R111" s="16">
        <f t="shared" si="44"/>
        <v>0</v>
      </c>
      <c r="S111" s="10"/>
      <c r="T111" s="40">
        <f t="shared" si="45"/>
        <v>0.9</v>
      </c>
      <c r="U111" s="8"/>
    </row>
    <row r="112" spans="1:21" ht="15.75" customHeight="1" x14ac:dyDescent="0.25">
      <c r="A112" s="516"/>
      <c r="B112" s="504" t="s">
        <v>13</v>
      </c>
      <c r="C112" s="504"/>
      <c r="D112" s="504"/>
      <c r="E112" s="504"/>
      <c r="F112" s="504"/>
      <c r="H112" s="46" t="e">
        <f>H109+H110+H111</f>
        <v>#REF!</v>
      </c>
      <c r="I112" s="10"/>
      <c r="J112" s="46" t="e">
        <f>SUM(J109:J111)</f>
        <v>#REF!</v>
      </c>
      <c r="K112" s="10"/>
      <c r="L112" s="16" t="e">
        <f>J112/H112</f>
        <v>#REF!</v>
      </c>
      <c r="M112" s="10"/>
      <c r="N112" s="16">
        <f>$F$1</f>
        <v>1</v>
      </c>
      <c r="O112" s="8"/>
      <c r="P112" s="46" t="e">
        <f>SUM(P109:P111)</f>
        <v>#REF!</v>
      </c>
      <c r="Q112" s="10"/>
      <c r="R112" s="16">
        <f t="shared" si="44"/>
        <v>0</v>
      </c>
      <c r="S112" s="10"/>
      <c r="T112" s="40">
        <f t="shared" si="45"/>
        <v>0.9</v>
      </c>
      <c r="U112" s="8"/>
    </row>
    <row r="113" spans="1:21" ht="15.75" customHeight="1" x14ac:dyDescent="0.25">
      <c r="H113"/>
      <c r="J113"/>
      <c r="P113"/>
    </row>
    <row r="114" spans="1:21" ht="15.75" customHeight="1" x14ac:dyDescent="0.25">
      <c r="A114" s="514" t="s">
        <v>1376</v>
      </c>
      <c r="B114" s="504" t="s">
        <v>10</v>
      </c>
      <c r="C114" s="504"/>
      <c r="D114" s="504"/>
      <c r="E114" s="504"/>
      <c r="F114" s="504"/>
      <c r="G114" t="s">
        <v>3</v>
      </c>
      <c r="H114" s="46" t="e">
        <f>COUNTIFS(tbl_cleaning[Housing Team],"HOUSING NORTH TEAM 6",#REF!,"&lt;&gt;NV")</f>
        <v>#REF!</v>
      </c>
      <c r="I114" s="10"/>
      <c r="J114" s="46" t="e" cm="1">
        <f t="array" ref="J114">SUM(COUNTIFS(tbl_cleaning[Housing Team],"HOUSING NORTH TEAM 6",#REF!,{"1","2","3","4"}))</f>
        <v>#REF!</v>
      </c>
      <c r="K114" s="10"/>
      <c r="L114" s="16" t="e">
        <f>J114/H114</f>
        <v>#REF!</v>
      </c>
      <c r="M114" s="10"/>
      <c r="N114" s="16">
        <f>$F$1</f>
        <v>1</v>
      </c>
      <c r="O114" s="8"/>
      <c r="P114" s="46" t="e">
        <f>COUNTIFS(tbl_cleaning[Housing Team],"HOUSING NORTH TEAM 6",#REF!,3)+COUNTIFS(tbl_cleaning[Housing Team],"HOUSING NORTH TEAM 6",#REF!,4)</f>
        <v>#REF!</v>
      </c>
      <c r="Q114" s="10"/>
      <c r="R114" s="16">
        <f t="shared" ref="R114:R117" si="46">IFERROR(P114/J114,0)</f>
        <v>0</v>
      </c>
      <c r="S114" s="10"/>
      <c r="T114" s="40">
        <f t="shared" ref="T114:T117" si="47">$Q$1</f>
        <v>0.9</v>
      </c>
      <c r="U114" s="8"/>
    </row>
    <row r="115" spans="1:21" ht="15.75" customHeight="1" x14ac:dyDescent="0.25">
      <c r="A115" s="515"/>
      <c r="B115" s="504" t="s">
        <v>11</v>
      </c>
      <c r="C115" s="504"/>
      <c r="D115" s="504"/>
      <c r="E115" s="504"/>
      <c r="F115" s="504"/>
      <c r="H115" s="46" t="e">
        <f>COUNTIFS(tbl_cleaning[Housing Team],"HOUSING NORTH TEAM 6",#REF!,"&lt;&gt;NV")</f>
        <v>#REF!</v>
      </c>
      <c r="I115" s="10"/>
      <c r="J115" s="46" t="e" cm="1">
        <f t="array" ref="J115">SUM(COUNTIFS(tbl_cleaning[Housing Team],"HOUSING NORTH TEAM 6",#REF!,{"1","2","3","4"}))</f>
        <v>#REF!</v>
      </c>
      <c r="K115" s="10"/>
      <c r="L115" s="16" t="e">
        <f>J115/H115</f>
        <v>#REF!</v>
      </c>
      <c r="M115" s="10"/>
      <c r="N115" s="16">
        <f>$F$1</f>
        <v>1</v>
      </c>
      <c r="O115" s="8"/>
      <c r="P115" s="46" t="e">
        <f>COUNTIFS(tbl_cleaning[Housing Team],"HOUSING NORTH TEAM 6",#REF!,3)+COUNTIFS(tbl_cleaning[Housing Team],"HOUSING NORTH TEAM 6",#REF!,4)</f>
        <v>#REF!</v>
      </c>
      <c r="Q115" s="10"/>
      <c r="R115" s="16">
        <f t="shared" si="46"/>
        <v>0</v>
      </c>
      <c r="S115" s="10"/>
      <c r="T115" s="40">
        <f t="shared" si="47"/>
        <v>0.9</v>
      </c>
      <c r="U115" s="8"/>
    </row>
    <row r="116" spans="1:21" ht="15.75" customHeight="1" x14ac:dyDescent="0.25">
      <c r="A116" s="515"/>
      <c r="B116" s="504" t="s">
        <v>12</v>
      </c>
      <c r="C116" s="504"/>
      <c r="D116" s="504"/>
      <c r="E116" s="504"/>
      <c r="F116" s="504"/>
      <c r="H116" s="46" t="e">
        <f>COUNTIFS(#REF!,"HOUSING NORTH TEAM 6",#REF!,"&lt;&gt;NV")</f>
        <v>#REF!</v>
      </c>
      <c r="I116" s="10"/>
      <c r="J116" s="46" t="e">
        <f t="array" ref="J116">SUM(COUNTIFS(#REF!,"HOUSING NORTH TEAM 6",#REF!,{"1","2","3","4"}))</f>
        <v>#REF!</v>
      </c>
      <c r="K116" s="10"/>
      <c r="L116" s="16" t="e">
        <f>J116/H116</f>
        <v>#REF!</v>
      </c>
      <c r="M116" s="10"/>
      <c r="N116" s="16">
        <f>$F$1</f>
        <v>1</v>
      </c>
      <c r="O116" s="8"/>
      <c r="P116" s="46" t="e">
        <f>COUNTIFS(#REF!,"HOUSING NORTH TEAM 6",#REF!,3)+COUNTIFS(#REF!,"HOUSING NORTH TEAM 6",#REF!,4)</f>
        <v>#REF!</v>
      </c>
      <c r="Q116" s="10"/>
      <c r="R116" s="16">
        <f t="shared" si="46"/>
        <v>0</v>
      </c>
      <c r="S116" s="10"/>
      <c r="T116" s="40">
        <f t="shared" si="47"/>
        <v>0.9</v>
      </c>
      <c r="U116" s="8"/>
    </row>
    <row r="117" spans="1:21" ht="15.75" customHeight="1" x14ac:dyDescent="0.25">
      <c r="A117" s="516"/>
      <c r="B117" s="504" t="s">
        <v>13</v>
      </c>
      <c r="C117" s="504"/>
      <c r="D117" s="504"/>
      <c r="E117" s="504"/>
      <c r="F117" s="504"/>
      <c r="H117" s="46" t="e">
        <f>H114+H115+H116</f>
        <v>#REF!</v>
      </c>
      <c r="I117" s="10"/>
      <c r="J117" s="46" t="e">
        <f>SUM(J114:J116)</f>
        <v>#REF!</v>
      </c>
      <c r="K117" s="10"/>
      <c r="L117" s="16" t="e">
        <f>J117/H117</f>
        <v>#REF!</v>
      </c>
      <c r="M117" s="10"/>
      <c r="N117" s="16">
        <f>$F$1</f>
        <v>1</v>
      </c>
      <c r="O117" s="8"/>
      <c r="P117" s="46" t="e">
        <f>SUM(P114:P116)</f>
        <v>#REF!</v>
      </c>
      <c r="Q117" s="10"/>
      <c r="R117" s="16">
        <f t="shared" si="46"/>
        <v>0</v>
      </c>
      <c r="S117" s="10"/>
      <c r="T117" s="40">
        <f t="shared" si="47"/>
        <v>0.9</v>
      </c>
      <c r="U117" s="8"/>
    </row>
    <row r="118" spans="1:21" ht="15.75" customHeight="1" x14ac:dyDescent="0.25">
      <c r="H118"/>
      <c r="J118"/>
      <c r="P118"/>
    </row>
    <row r="119" spans="1:21" ht="15.75" customHeight="1" x14ac:dyDescent="0.25">
      <c r="A119" s="514" t="s">
        <v>1381</v>
      </c>
      <c r="B119" s="504" t="s">
        <v>10</v>
      </c>
      <c r="C119" s="504"/>
      <c r="D119" s="504"/>
      <c r="E119" s="504"/>
      <c r="F119" s="504"/>
      <c r="H119" s="46" t="e">
        <f>COUNTIFS(tbl_cleaning[Housing Team],"HOUSING NORTH TEAM 7",#REF!,"&lt;&gt;NV")</f>
        <v>#REF!</v>
      </c>
      <c r="I119" s="10"/>
      <c r="J119" s="46" t="e" cm="1">
        <f t="array" ref="J119">SUM(COUNTIFS(tbl_cleaning[Housing Team],"HOUSING NORTH TEAM 7",#REF!,{"1","2","3","4"}))</f>
        <v>#REF!</v>
      </c>
      <c r="K119" s="10"/>
      <c r="L119" s="16" t="e">
        <f>J119/H119</f>
        <v>#REF!</v>
      </c>
      <c r="M119" s="10"/>
      <c r="N119" s="16">
        <f>$F$1</f>
        <v>1</v>
      </c>
      <c r="O119" s="8"/>
      <c r="P119" s="46" t="e">
        <f>COUNTIFS(tbl_cleaning[Housing Team],"HOUSING NORTH TEAM 7",#REF!,3)+COUNTIFS(tbl_cleaning[Housing Team],"HOUSING NORTH TEAM 7",#REF!,4)</f>
        <v>#REF!</v>
      </c>
      <c r="Q119" s="10"/>
      <c r="R119" s="16">
        <f t="shared" ref="R119:R122" si="48">IFERROR(P119/J119,0)</f>
        <v>0</v>
      </c>
      <c r="S119" s="10"/>
      <c r="T119" s="40">
        <f t="shared" ref="T119:T122" si="49">$Q$1</f>
        <v>0.9</v>
      </c>
      <c r="U119" s="8"/>
    </row>
    <row r="120" spans="1:21" ht="15.75" customHeight="1" x14ac:dyDescent="0.25">
      <c r="A120" s="515"/>
      <c r="B120" s="504" t="s">
        <v>11</v>
      </c>
      <c r="C120" s="504"/>
      <c r="D120" s="504"/>
      <c r="E120" s="504"/>
      <c r="F120" s="504"/>
      <c r="H120" s="46" t="e">
        <f>COUNTIFS(tbl_cleaning[Housing Team],"HOUSING NORTH TEAM 7",#REF!,"&lt;&gt;NV")</f>
        <v>#REF!</v>
      </c>
      <c r="I120" s="10"/>
      <c r="J120" s="46" t="e" cm="1">
        <f t="array" ref="J120">SUM(COUNTIFS(tbl_cleaning[Housing Team],"HOUSING NORTH TEAM 7",#REF!,{"1","2","3","4"}))</f>
        <v>#REF!</v>
      </c>
      <c r="K120" s="10"/>
      <c r="L120" s="16" t="e">
        <f>J120/H120</f>
        <v>#REF!</v>
      </c>
      <c r="M120" s="10"/>
      <c r="N120" s="16">
        <f>$F$1</f>
        <v>1</v>
      </c>
      <c r="O120" s="8"/>
      <c r="P120" s="46" t="e">
        <f>COUNTIFS(tbl_cleaning[Housing Team],"HOUSING NORTH TEAM 7",#REF!,3)+COUNTIFS(tbl_cleaning[Housing Team],"HOUSING NORTH TEAM 7",#REF!,4)</f>
        <v>#REF!</v>
      </c>
      <c r="Q120" s="10"/>
      <c r="R120" s="16">
        <f t="shared" si="48"/>
        <v>0</v>
      </c>
      <c r="S120" s="10"/>
      <c r="T120" s="40">
        <f t="shared" si="49"/>
        <v>0.9</v>
      </c>
      <c r="U120" s="8"/>
    </row>
    <row r="121" spans="1:21" ht="15.75" customHeight="1" x14ac:dyDescent="0.25">
      <c r="A121" s="515"/>
      <c r="B121" s="504" t="s">
        <v>12</v>
      </c>
      <c r="C121" s="504"/>
      <c r="D121" s="504"/>
      <c r="E121" s="504"/>
      <c r="F121" s="504"/>
      <c r="H121" s="46" t="e">
        <f>COUNTIFS(#REF!,"HOUSING NORTH TEAM 7",#REF!,"&lt;&gt;NV")</f>
        <v>#REF!</v>
      </c>
      <c r="I121" s="10"/>
      <c r="J121" s="46" t="e">
        <f t="array" ref="J121">SUM(COUNTIFS(#REF!,"HOUSING NORTH TEAM 7",#REF!,{"1","2","3","4"}))</f>
        <v>#REF!</v>
      </c>
      <c r="K121" s="10"/>
      <c r="L121" s="16" t="e">
        <f>J121/H121</f>
        <v>#REF!</v>
      </c>
      <c r="M121" s="10"/>
      <c r="N121" s="16">
        <f>$F$1</f>
        <v>1</v>
      </c>
      <c r="O121" s="8"/>
      <c r="P121" s="46" t="e">
        <f>COUNTIFS(#REF!,"HOUSING NORTH TEAM 7",#REF!,3)+COUNTIFS(#REF!,"HOUSING NORTH TEAM 7",#REF!,4)</f>
        <v>#REF!</v>
      </c>
      <c r="Q121" s="10"/>
      <c r="R121" s="16">
        <f t="shared" si="48"/>
        <v>0</v>
      </c>
      <c r="S121" s="10"/>
      <c r="T121" s="40">
        <f t="shared" si="49"/>
        <v>0.9</v>
      </c>
      <c r="U121" s="8"/>
    </row>
    <row r="122" spans="1:21" ht="15.75" customHeight="1" x14ac:dyDescent="0.25">
      <c r="A122" s="516"/>
      <c r="B122" s="504" t="s">
        <v>13</v>
      </c>
      <c r="C122" s="504"/>
      <c r="D122" s="504"/>
      <c r="E122" s="504"/>
      <c r="F122" s="504"/>
      <c r="H122" s="46" t="e">
        <f>H119+H120+H121</f>
        <v>#REF!</v>
      </c>
      <c r="I122" s="10"/>
      <c r="J122" s="46" t="e">
        <f>SUM(J119:J121)</f>
        <v>#REF!</v>
      </c>
      <c r="K122" s="10"/>
      <c r="L122" s="16" t="e">
        <f>J122/H122</f>
        <v>#REF!</v>
      </c>
      <c r="M122" s="10"/>
      <c r="N122" s="16">
        <f>$F$1</f>
        <v>1</v>
      </c>
      <c r="O122" s="8"/>
      <c r="P122" s="46" t="e">
        <f>SUM(P119:P121)</f>
        <v>#REF!</v>
      </c>
      <c r="Q122" s="10"/>
      <c r="R122" s="16">
        <f t="shared" si="48"/>
        <v>0</v>
      </c>
      <c r="S122" s="10"/>
      <c r="T122" s="40">
        <f t="shared" si="49"/>
        <v>0.9</v>
      </c>
      <c r="U122" s="8"/>
    </row>
    <row r="123" spans="1:21" ht="15.75" customHeight="1" x14ac:dyDescent="0.25">
      <c r="H123"/>
      <c r="J123"/>
      <c r="P123"/>
    </row>
    <row r="124" spans="1:21" ht="15.75" customHeight="1" x14ac:dyDescent="0.25">
      <c r="A124" s="505" t="s">
        <v>1373</v>
      </c>
      <c r="B124" s="504" t="s">
        <v>10</v>
      </c>
      <c r="C124" s="504"/>
      <c r="D124" s="504"/>
      <c r="E124" s="504"/>
      <c r="F124" s="504"/>
      <c r="G124" t="s">
        <v>3</v>
      </c>
      <c r="H124" s="46" t="e">
        <f>COUNTIFS(tbl_cleaning[Housing Team],"HOUSING SOUTH TEAM 1",#REF!,"&lt;&gt;NV")</f>
        <v>#REF!</v>
      </c>
      <c r="I124" s="10"/>
      <c r="J124" s="46" t="e" cm="1">
        <f t="array" ref="J124">SUM(COUNTIFS(tbl_cleaning[Housing Team],"HOUSING SOUTH TEAM 1",#REF!,{"1","2","3","4"}))</f>
        <v>#REF!</v>
      </c>
      <c r="K124" s="10"/>
      <c r="L124" s="16" t="e">
        <f>J124/H124</f>
        <v>#REF!</v>
      </c>
      <c r="M124" s="10"/>
      <c r="N124" s="16">
        <f>$F$1</f>
        <v>1</v>
      </c>
      <c r="O124" s="8"/>
      <c r="P124" s="46" t="e">
        <f>COUNTIFS(tbl_cleaning[Housing Team],"HOUSING SOUTH TEAM 1",#REF!,3)+COUNTIFS(tbl_cleaning[Housing Team],"HOUSING SOUTH TEAM 1",#REF!,4)</f>
        <v>#REF!</v>
      </c>
      <c r="Q124" s="10"/>
      <c r="R124" s="16">
        <f t="shared" ref="R124:R127" si="50">IFERROR(P124/J124,0)</f>
        <v>0</v>
      </c>
      <c r="S124" s="10"/>
      <c r="T124" s="40">
        <f t="shared" ref="T124:T127" si="51">$Q$1</f>
        <v>0.9</v>
      </c>
      <c r="U124" s="8"/>
    </row>
    <row r="125" spans="1:21" ht="15.75" customHeight="1" x14ac:dyDescent="0.25">
      <c r="A125" s="529"/>
      <c r="B125" s="504" t="s">
        <v>11</v>
      </c>
      <c r="C125" s="504"/>
      <c r="D125" s="504"/>
      <c r="E125" s="504"/>
      <c r="F125" s="504"/>
      <c r="H125" s="46" t="e">
        <f>COUNTIFS(tbl_cleaning[Housing Team],"HOUSING SOUTH TEAM 1",#REF!,"&lt;&gt;NV")</f>
        <v>#REF!</v>
      </c>
      <c r="I125" s="10"/>
      <c r="J125" s="46" t="e" cm="1">
        <f t="array" ref="J125">SUM(COUNTIFS(tbl_cleaning[Housing Team],"HOUSING SOUTH TEAM 1",#REF!,{"1","2","3","4"}))</f>
        <v>#REF!</v>
      </c>
      <c r="K125" s="10"/>
      <c r="L125" s="16" t="e">
        <f>J125/H125</f>
        <v>#REF!</v>
      </c>
      <c r="M125" s="10"/>
      <c r="N125" s="16">
        <f>$F$1</f>
        <v>1</v>
      </c>
      <c r="O125" s="8"/>
      <c r="P125" s="46" t="e">
        <f>COUNTIFS(tbl_cleaning[Housing Team],"HOUSING SOUTH TEAM 1",#REF!,3)+COUNTIFS(tbl_cleaning[Housing Team],"HOUSING SOUTH TEAM 1",#REF!,4)</f>
        <v>#REF!</v>
      </c>
      <c r="Q125" s="10"/>
      <c r="R125" s="16">
        <f t="shared" si="50"/>
        <v>0</v>
      </c>
      <c r="S125" s="10"/>
      <c r="T125" s="40">
        <f t="shared" si="51"/>
        <v>0.9</v>
      </c>
      <c r="U125" s="8"/>
    </row>
    <row r="126" spans="1:21" ht="15.75" customHeight="1" x14ac:dyDescent="0.25">
      <c r="A126" s="529"/>
      <c r="B126" s="504" t="s">
        <v>12</v>
      </c>
      <c r="C126" s="504"/>
      <c r="D126" s="504"/>
      <c r="E126" s="504"/>
      <c r="F126" s="504"/>
      <c r="H126" s="46" t="e">
        <f>COUNTIFS(#REF!,"HOUSING SOUTH TEAM 1",#REF!,"&lt;&gt;NV")</f>
        <v>#REF!</v>
      </c>
      <c r="I126" s="10"/>
      <c r="J126" s="46" t="e">
        <f t="array" ref="J126">SUM(COUNTIFS(#REF!,"HOUSING SOUTH TEAM 1",#REF!,{"1","2","3","4"}))</f>
        <v>#REF!</v>
      </c>
      <c r="K126" s="10"/>
      <c r="L126" s="16" t="e">
        <f>J126/H126</f>
        <v>#REF!</v>
      </c>
      <c r="M126" s="10"/>
      <c r="N126" s="16">
        <f>$F$1</f>
        <v>1</v>
      </c>
      <c r="O126" s="8"/>
      <c r="P126" s="46" t="e">
        <f>COUNTIFS(#REF!,"HOUSING SOUTH TEAM 1",#REF!,3)+COUNTIFS(#REF!,"HOUSING SOUTH TEAM 1",#REF!,4)</f>
        <v>#REF!</v>
      </c>
      <c r="Q126" s="10"/>
      <c r="R126" s="16">
        <f t="shared" si="50"/>
        <v>0</v>
      </c>
      <c r="S126" s="10"/>
      <c r="T126" s="40">
        <f t="shared" si="51"/>
        <v>0.9</v>
      </c>
      <c r="U126" s="8"/>
    </row>
    <row r="127" spans="1:21" ht="15.75" customHeight="1" x14ac:dyDescent="0.25">
      <c r="A127" s="530"/>
      <c r="B127" s="504" t="s">
        <v>13</v>
      </c>
      <c r="C127" s="504"/>
      <c r="D127" s="504"/>
      <c r="E127" s="504"/>
      <c r="F127" s="504"/>
      <c r="H127" s="46" t="e">
        <f>H124+H125+H126</f>
        <v>#REF!</v>
      </c>
      <c r="I127" s="10"/>
      <c r="J127" s="46" t="e">
        <f>SUM(J124:J126)</f>
        <v>#REF!</v>
      </c>
      <c r="K127" s="10"/>
      <c r="L127" s="16" t="e">
        <f>J127/H127</f>
        <v>#REF!</v>
      </c>
      <c r="M127" s="10"/>
      <c r="N127" s="16">
        <f>$F$1</f>
        <v>1</v>
      </c>
      <c r="O127" s="8"/>
      <c r="P127" s="46" t="e">
        <f>SUM(P124:P126)</f>
        <v>#REF!</v>
      </c>
      <c r="Q127" s="10"/>
      <c r="R127" s="16">
        <f t="shared" si="50"/>
        <v>0</v>
      </c>
      <c r="S127" s="10"/>
      <c r="T127" s="40">
        <f t="shared" si="51"/>
        <v>0.9</v>
      </c>
      <c r="U127" s="8"/>
    </row>
    <row r="128" spans="1:21" ht="15.75" customHeight="1" x14ac:dyDescent="0.25">
      <c r="H128"/>
      <c r="J128"/>
      <c r="P128"/>
    </row>
    <row r="129" spans="1:21" ht="15.75" customHeight="1" x14ac:dyDescent="0.25">
      <c r="A129" s="505" t="s">
        <v>1369</v>
      </c>
      <c r="B129" s="504" t="s">
        <v>10</v>
      </c>
      <c r="C129" s="504"/>
      <c r="D129" s="504"/>
      <c r="E129" s="504"/>
      <c r="F129" s="504"/>
      <c r="H129" s="46" t="e">
        <f>COUNTIFS(tbl_cleaning[Housing Team],"HOUSING SOUTH TEAM 2",#REF!,"&lt;&gt;NV")</f>
        <v>#REF!</v>
      </c>
      <c r="I129" s="10"/>
      <c r="J129" s="46" t="e" cm="1">
        <f t="array" ref="J129">SUM(COUNTIFS(tbl_cleaning[Housing Team],"HOUSING SOUTH TEAM 2",#REF!,{"1","2","3","4"}))</f>
        <v>#REF!</v>
      </c>
      <c r="K129" s="10"/>
      <c r="L129" s="16" t="e">
        <f>J129/H129</f>
        <v>#REF!</v>
      </c>
      <c r="M129" s="10"/>
      <c r="N129" s="16">
        <f>$F$1</f>
        <v>1</v>
      </c>
      <c r="O129" s="8"/>
      <c r="P129" s="46" t="e">
        <f>COUNTIFS(tbl_cleaning[Housing Team],"HOUSING SOUTH TEAM 2",#REF!,3)+COUNTIFS(tbl_cleaning[Housing Team],"HOUSING SOUTH TEAM 2",#REF!,4)</f>
        <v>#REF!</v>
      </c>
      <c r="Q129" s="10"/>
      <c r="R129" s="16">
        <f t="shared" ref="R129:R132" si="52">IFERROR(P129/J129,0)</f>
        <v>0</v>
      </c>
      <c r="S129" s="10"/>
      <c r="T129" s="40">
        <f t="shared" ref="T129:T132" si="53">$Q$1</f>
        <v>0.9</v>
      </c>
      <c r="U129" s="8"/>
    </row>
    <row r="130" spans="1:21" ht="15.75" customHeight="1" x14ac:dyDescent="0.25">
      <c r="A130" s="529"/>
      <c r="B130" s="504" t="s">
        <v>11</v>
      </c>
      <c r="C130" s="504"/>
      <c r="D130" s="504"/>
      <c r="E130" s="504"/>
      <c r="F130" s="504"/>
      <c r="H130" s="46" t="e">
        <f>COUNTIFS(tbl_cleaning[Housing Team],"HOUSING SOUTH TEAM 2",#REF!,"&lt;&gt;NV")</f>
        <v>#REF!</v>
      </c>
      <c r="I130" s="10"/>
      <c r="J130" s="46" t="e" cm="1">
        <f t="array" ref="J130">SUM(COUNTIFS(tbl_cleaning[Housing Team],"HOUSING SOUTH TEAM 2",#REF!,{"1","2","3","4"}))</f>
        <v>#REF!</v>
      </c>
      <c r="K130" s="10"/>
      <c r="L130" s="16" t="e">
        <f>J130/H130</f>
        <v>#REF!</v>
      </c>
      <c r="M130" s="10"/>
      <c r="N130" s="16">
        <f>$F$1</f>
        <v>1</v>
      </c>
      <c r="O130" s="8"/>
      <c r="P130" s="46" t="e">
        <f>COUNTIFS(tbl_cleaning[Housing Team],"HOUSING SOUTH TEAM 2",#REF!,3)+COUNTIFS(tbl_cleaning[Housing Team],"HOUSING SOUTH TEAM 2",#REF!,4)</f>
        <v>#REF!</v>
      </c>
      <c r="Q130" s="10"/>
      <c r="R130" s="16">
        <f t="shared" si="52"/>
        <v>0</v>
      </c>
      <c r="S130" s="10"/>
      <c r="T130" s="40">
        <f t="shared" si="53"/>
        <v>0.9</v>
      </c>
      <c r="U130" s="8"/>
    </row>
    <row r="131" spans="1:21" ht="15.75" customHeight="1" x14ac:dyDescent="0.25">
      <c r="A131" s="529"/>
      <c r="B131" s="504" t="s">
        <v>12</v>
      </c>
      <c r="C131" s="504"/>
      <c r="D131" s="504"/>
      <c r="E131" s="504"/>
      <c r="F131" s="504"/>
      <c r="H131" s="46" t="e">
        <f>COUNTIFS(#REF!,"HOUSING SOUTH TEAM 2",#REF!,"&lt;&gt;NV")</f>
        <v>#REF!</v>
      </c>
      <c r="I131" s="10"/>
      <c r="J131" s="46" t="e">
        <f t="array" ref="J131">SUM(COUNTIFS(#REF!,"HOUSING SOUTH TEAM 2",#REF!,{"1","2","3","4"}))</f>
        <v>#REF!</v>
      </c>
      <c r="K131" s="10"/>
      <c r="L131" s="16" t="e">
        <f>J131/H131</f>
        <v>#REF!</v>
      </c>
      <c r="M131" s="10"/>
      <c r="N131" s="16">
        <f>$F$1</f>
        <v>1</v>
      </c>
      <c r="O131" s="8"/>
      <c r="P131" s="46" t="e">
        <f>COUNTIFS(#REF!,"HOUSING SOUTH TEAM 2",#REF!,3)+COUNTIFS(#REF!,"HOUSING SOUTH TEAM 2",#REF!,4)</f>
        <v>#REF!</v>
      </c>
      <c r="Q131" s="10"/>
      <c r="R131" s="16">
        <f t="shared" si="52"/>
        <v>0</v>
      </c>
      <c r="S131" s="10"/>
      <c r="T131" s="40">
        <f t="shared" si="53"/>
        <v>0.9</v>
      </c>
      <c r="U131" s="8"/>
    </row>
    <row r="132" spans="1:21" ht="15.75" customHeight="1" x14ac:dyDescent="0.25">
      <c r="A132" s="530"/>
      <c r="B132" s="504" t="s">
        <v>13</v>
      </c>
      <c r="C132" s="504"/>
      <c r="D132" s="504"/>
      <c r="E132" s="504"/>
      <c r="F132" s="504"/>
      <c r="H132" s="46" t="e">
        <f>H129+H130+H131</f>
        <v>#REF!</v>
      </c>
      <c r="I132" s="10"/>
      <c r="J132" s="46" t="e">
        <f>SUM(J129:J131)</f>
        <v>#REF!</v>
      </c>
      <c r="K132" s="10"/>
      <c r="L132" s="16" t="e">
        <f>J132/H132</f>
        <v>#REF!</v>
      </c>
      <c r="M132" s="10"/>
      <c r="N132" s="16">
        <f>$F$1</f>
        <v>1</v>
      </c>
      <c r="O132" s="8"/>
      <c r="P132" s="46" t="e">
        <f>SUM(P129:P131)</f>
        <v>#REF!</v>
      </c>
      <c r="Q132" s="10"/>
      <c r="R132" s="16">
        <f t="shared" si="52"/>
        <v>0</v>
      </c>
      <c r="S132" s="10"/>
      <c r="T132" s="40">
        <f t="shared" si="53"/>
        <v>0.9</v>
      </c>
      <c r="U132" s="8"/>
    </row>
    <row r="133" spans="1:21" ht="15.75" customHeight="1" x14ac:dyDescent="0.25">
      <c r="H133"/>
      <c r="J133"/>
      <c r="P133"/>
    </row>
    <row r="134" spans="1:21" ht="15.75" customHeight="1" x14ac:dyDescent="0.25">
      <c r="A134" s="510" t="s">
        <v>1389</v>
      </c>
      <c r="B134" s="504" t="s">
        <v>10</v>
      </c>
      <c r="C134" s="504"/>
      <c r="D134" s="504"/>
      <c r="E134" s="504"/>
      <c r="F134" s="504"/>
      <c r="H134" s="46" t="e">
        <f>COUNTIFS(tbl_cleaning[Housing Team],"HOUSING SOUTH TEAM 2",#REF!,"&lt;&gt;NV")</f>
        <v>#REF!</v>
      </c>
      <c r="I134" s="10"/>
      <c r="J134" s="46" t="e" cm="1">
        <f t="array" ref="J134">SUM(COUNTIFS(tbl_cleaning[Housing Team],"WOODBERRY DOWN TEAM",#REF!,{"1","2","3","4"}))</f>
        <v>#REF!</v>
      </c>
      <c r="K134" s="10"/>
      <c r="L134" s="16" t="e">
        <f>J134/H134</f>
        <v>#REF!</v>
      </c>
      <c r="M134" s="10"/>
      <c r="N134" s="16">
        <f>$F$1</f>
        <v>1</v>
      </c>
      <c r="O134" s="8"/>
      <c r="P134" s="46" t="e">
        <f>COUNTIFS(tbl_cleaning[Housing Team],"WOODBERRY DOWN TEAM",#REF!,3)+COUNTIFS(tbl_cleaning[Housing Team],"WOODBERRY DOWN TEAM",#REF!,4)</f>
        <v>#REF!</v>
      </c>
      <c r="Q134" s="10"/>
      <c r="R134" s="16">
        <f t="shared" ref="R134:R137" si="54">IFERROR(P134/J134,0)</f>
        <v>0</v>
      </c>
      <c r="S134" s="10"/>
      <c r="T134" s="40">
        <f t="shared" ref="T134:T137" si="55">$Q$1</f>
        <v>0.9</v>
      </c>
    </row>
    <row r="135" spans="1:21" ht="15.75" customHeight="1" x14ac:dyDescent="0.25">
      <c r="A135" s="512"/>
      <c r="B135" s="504" t="s">
        <v>11</v>
      </c>
      <c r="C135" s="504"/>
      <c r="D135" s="504"/>
      <c r="E135" s="504"/>
      <c r="F135" s="504"/>
      <c r="H135" s="46" t="e">
        <f>COUNTIFS(tbl_cleaning[Housing Team],"HOUSING SOUTH TEAM 2",#REF!,"&lt;&gt;NV")</f>
        <v>#REF!</v>
      </c>
      <c r="I135" s="10"/>
      <c r="J135" s="46" t="e" cm="1">
        <f t="array" ref="J135">SUM(COUNTIFS(tbl_cleaning[Housing Team],"WOODBERRY DOWN TEAM",#REF!,{"1","2","3","4"}))</f>
        <v>#REF!</v>
      </c>
      <c r="K135" s="10"/>
      <c r="L135" s="16" t="e">
        <f>J135/H135</f>
        <v>#REF!</v>
      </c>
      <c r="M135" s="10"/>
      <c r="N135" s="16">
        <f>$F$1</f>
        <v>1</v>
      </c>
      <c r="O135" s="8"/>
      <c r="P135" s="46" t="e">
        <f>COUNTIFS(tbl_cleaning[Housing Team],"WOODBERRY DOWN TEAM",#REF!,3)+COUNTIFS(tbl_cleaning[Housing Team],"WOODBERRY DOWN TEAM",#REF!,4)</f>
        <v>#REF!</v>
      </c>
      <c r="Q135" s="10"/>
      <c r="R135" s="16">
        <f t="shared" si="54"/>
        <v>0</v>
      </c>
      <c r="S135" s="10"/>
      <c r="T135" s="40">
        <f t="shared" si="55"/>
        <v>0.9</v>
      </c>
    </row>
    <row r="136" spans="1:21" ht="15.75" customHeight="1" x14ac:dyDescent="0.25">
      <c r="A136" s="512"/>
      <c r="B136" s="504" t="s">
        <v>12</v>
      </c>
      <c r="C136" s="504"/>
      <c r="D136" s="504"/>
      <c r="E136" s="504"/>
      <c r="F136" s="504"/>
      <c r="H136" s="46" t="e">
        <f>COUNTIFS(#REF!,"HOUSING SOUTH TEAM 2",#REF!,"&lt;&gt;NV")</f>
        <v>#REF!</v>
      </c>
      <c r="I136" s="10"/>
      <c r="J136" s="46" t="e" cm="1">
        <f t="array" ref="J136">SUM(COUNTIFS(#REF!,"WOODBERRY DOWN TEAM",#REF!,{"1","2","3","4"}))</f>
        <v>#REF!</v>
      </c>
      <c r="K136" s="10"/>
      <c r="L136" s="16" t="e">
        <f>J136/H136</f>
        <v>#REF!</v>
      </c>
      <c r="M136" s="10"/>
      <c r="N136" s="16">
        <f>$F$1</f>
        <v>1</v>
      </c>
      <c r="O136" s="8"/>
      <c r="P136" s="46" t="e">
        <f>COUNTIFS(#REF!,"WOODBERRY DOWN TEAM",#REF!,3)+COUNTIFS(#REF!,"WOODBERRY DOWN TEAM",#REF!,4)</f>
        <v>#REF!</v>
      </c>
      <c r="Q136" s="10"/>
      <c r="R136" s="16">
        <f t="shared" si="54"/>
        <v>0</v>
      </c>
      <c r="S136" s="10"/>
      <c r="T136" s="40">
        <f t="shared" si="55"/>
        <v>0.9</v>
      </c>
    </row>
    <row r="137" spans="1:21" ht="15.75" customHeight="1" x14ac:dyDescent="0.25">
      <c r="A137" s="513"/>
      <c r="B137" s="504" t="s">
        <v>13</v>
      </c>
      <c r="C137" s="504"/>
      <c r="D137" s="504"/>
      <c r="E137" s="504"/>
      <c r="F137" s="504"/>
      <c r="H137" s="46" t="e">
        <f>H134+H135+H136</f>
        <v>#REF!</v>
      </c>
      <c r="I137" s="10"/>
      <c r="J137" s="46" t="e">
        <f>SUM(J134:J136)</f>
        <v>#REF!</v>
      </c>
      <c r="K137" s="10"/>
      <c r="L137" s="16" t="e">
        <f>J137/H137</f>
        <v>#REF!</v>
      </c>
      <c r="M137" s="10"/>
      <c r="N137" s="16">
        <f>$F$1</f>
        <v>1</v>
      </c>
      <c r="O137" s="8"/>
      <c r="P137" s="46" t="e">
        <f>SUM(P134:P136)</f>
        <v>#REF!</v>
      </c>
      <c r="Q137" s="10"/>
      <c r="R137" s="16">
        <f t="shared" si="54"/>
        <v>0</v>
      </c>
      <c r="S137" s="10"/>
      <c r="T137" s="40">
        <f t="shared" si="55"/>
        <v>0.9</v>
      </c>
    </row>
    <row r="138" spans="1:21" ht="15.75" customHeight="1" thickBot="1" x14ac:dyDescent="0.3">
      <c r="H138"/>
      <c r="J138"/>
      <c r="P138"/>
    </row>
    <row r="139" spans="1:21" ht="15.75" customHeight="1" x14ac:dyDescent="0.25">
      <c r="A139" s="517" t="s">
        <v>39</v>
      </c>
      <c r="B139" s="50" t="s">
        <v>10</v>
      </c>
      <c r="C139" s="50"/>
      <c r="D139" s="50"/>
      <c r="E139" s="50"/>
      <c r="F139" s="51"/>
      <c r="G139" s="15"/>
      <c r="H139" s="46" t="e">
        <f>SUM(H4+H9+H19+H24+H29+H34+H39+H49)</f>
        <v>#REF!</v>
      </c>
      <c r="I139" s="10"/>
      <c r="J139" s="46" t="e">
        <f>SUM(J4+J9+J19+J24+J29+J34+J39+J49)</f>
        <v>#REF!</v>
      </c>
      <c r="K139" s="10"/>
      <c r="L139" s="16" t="e">
        <f>J139/H139</f>
        <v>#REF!</v>
      </c>
      <c r="M139" s="10"/>
      <c r="N139" s="16">
        <f>$F$1</f>
        <v>1</v>
      </c>
      <c r="O139" s="8"/>
      <c r="P139" s="46" t="e">
        <f>SUM(P4+P9+P19+P24+P29+P34+P39+P49)</f>
        <v>#REF!</v>
      </c>
      <c r="Q139" s="10"/>
      <c r="R139" s="16">
        <f t="shared" ref="R139:R142" si="56">IFERROR(P139/J139,0)</f>
        <v>0</v>
      </c>
      <c r="S139" s="10"/>
      <c r="T139" s="40">
        <f t="shared" ref="T139:T157" si="57">$Q$1</f>
        <v>0.9</v>
      </c>
      <c r="U139" s="8"/>
    </row>
    <row r="140" spans="1:21" ht="15.75" customHeight="1" x14ac:dyDescent="0.25">
      <c r="A140" s="518"/>
      <c r="B140" s="50" t="s">
        <v>11</v>
      </c>
      <c r="C140" s="50"/>
      <c r="D140" s="50"/>
      <c r="E140" s="50"/>
      <c r="F140" s="51"/>
      <c r="G140" s="15"/>
      <c r="H140" s="46" t="e">
        <f>SUM(H5+H10+H20+H25+H30+H35+H40+H50)</f>
        <v>#REF!</v>
      </c>
      <c r="I140" s="10"/>
      <c r="J140" s="46" t="e">
        <f>SUM(J5+J10+J20+J25+J30+J35+J40+J50)</f>
        <v>#REF!</v>
      </c>
      <c r="K140" s="10"/>
      <c r="L140" s="16" t="e">
        <f>J140/H140</f>
        <v>#REF!</v>
      </c>
      <c r="M140" s="10"/>
      <c r="N140" s="16">
        <f>$F$1</f>
        <v>1</v>
      </c>
      <c r="O140" s="8"/>
      <c r="P140" s="46" t="e">
        <f>SUM(P5+P10+P20+P25+P30+P35+P40+P50)</f>
        <v>#REF!</v>
      </c>
      <c r="Q140" s="10"/>
      <c r="R140" s="16">
        <f t="shared" si="56"/>
        <v>0</v>
      </c>
      <c r="S140" s="10"/>
      <c r="T140" s="40">
        <f t="shared" si="57"/>
        <v>0.9</v>
      </c>
      <c r="U140" s="8"/>
    </row>
    <row r="141" spans="1:21" ht="15.75" customHeight="1" x14ac:dyDescent="0.25">
      <c r="A141" s="518"/>
      <c r="B141" s="50" t="s">
        <v>12</v>
      </c>
      <c r="C141" s="50"/>
      <c r="D141" s="50"/>
      <c r="E141" s="50"/>
      <c r="F141" s="51"/>
      <c r="G141" s="15"/>
      <c r="H141" s="46" t="e">
        <f>SUM(H6+H11+H21+H26+H31+H36+H41+H51)</f>
        <v>#REF!</v>
      </c>
      <c r="I141" s="10"/>
      <c r="J141" s="46" t="e">
        <f>SUM(J6+J11+J21+J26+J31+J36+J41+J51)</f>
        <v>#REF!</v>
      </c>
      <c r="K141" s="10"/>
      <c r="L141" s="16" t="e">
        <f>J141/H141</f>
        <v>#REF!</v>
      </c>
      <c r="M141" s="10"/>
      <c r="N141" s="16">
        <f>$F$1</f>
        <v>1</v>
      </c>
      <c r="O141" s="8"/>
      <c r="P141" s="46" t="e">
        <f>SUM(P6+P11+P21+P26+P31+P36+P41+P51)</f>
        <v>#REF!</v>
      </c>
      <c r="Q141" s="10"/>
      <c r="R141" s="16">
        <f t="shared" si="56"/>
        <v>0</v>
      </c>
      <c r="S141" s="10"/>
      <c r="T141" s="40">
        <f t="shared" si="57"/>
        <v>0.9</v>
      </c>
      <c r="U141" s="8"/>
    </row>
    <row r="142" spans="1:21" ht="15.75" customHeight="1" thickBot="1" x14ac:dyDescent="0.3">
      <c r="A142" s="519"/>
      <c r="B142" s="50" t="s">
        <v>13</v>
      </c>
      <c r="C142" s="50"/>
      <c r="D142" s="50"/>
      <c r="E142" s="50"/>
      <c r="F142" s="51"/>
      <c r="G142" s="8"/>
      <c r="H142" s="46" t="e">
        <f>SUM(H139+H140+H141)</f>
        <v>#REF!</v>
      </c>
      <c r="I142" s="10"/>
      <c r="J142" s="46" t="e">
        <f>SUM(J7+J12+J22+J27+J32+J37+J42+J52)</f>
        <v>#REF!</v>
      </c>
      <c r="K142" s="10"/>
      <c r="L142" s="16" t="e">
        <f>J142/H142</f>
        <v>#REF!</v>
      </c>
      <c r="M142" s="10"/>
      <c r="N142" s="16">
        <f>$F$1</f>
        <v>1</v>
      </c>
      <c r="O142" s="8"/>
      <c r="P142" s="46" t="e">
        <f>SUM(P7+P12+P22+P27+P32+P37+P42+P52)</f>
        <v>#REF!</v>
      </c>
      <c r="Q142" s="10"/>
      <c r="R142" s="16">
        <f t="shared" si="56"/>
        <v>0</v>
      </c>
      <c r="S142" s="10"/>
      <c r="T142" s="40">
        <f t="shared" si="57"/>
        <v>0.9</v>
      </c>
      <c r="U142" s="8"/>
    </row>
    <row r="143" spans="1:21" ht="15.75" customHeight="1" thickBot="1" x14ac:dyDescent="0.3">
      <c r="H143"/>
      <c r="J143"/>
      <c r="P143"/>
    </row>
    <row r="144" spans="1:21" ht="15.75" customHeight="1" x14ac:dyDescent="0.25">
      <c r="A144" s="520" t="s">
        <v>40</v>
      </c>
      <c r="B144" s="50" t="s">
        <v>10</v>
      </c>
      <c r="C144" s="50"/>
      <c r="D144" s="50"/>
      <c r="E144" s="50"/>
      <c r="F144" s="51"/>
      <c r="G144" s="15"/>
      <c r="H144" s="46" t="e">
        <f>SUM(H14+H44+H54+H124+H129)</f>
        <v>#REF!</v>
      </c>
      <c r="I144" s="10"/>
      <c r="J144" s="46" t="e">
        <f>SUM(J14+J44+J54+J124+J129+J59)</f>
        <v>#REF!</v>
      </c>
      <c r="K144" s="10"/>
      <c r="L144" s="16" t="e">
        <f>J144/H144</f>
        <v>#REF!</v>
      </c>
      <c r="M144" s="10"/>
      <c r="N144" s="16">
        <f>$F$1</f>
        <v>1</v>
      </c>
      <c r="O144" s="8"/>
      <c r="P144" s="46" t="e">
        <f>SUM(P14+P44+P54+P124+P129+P59)</f>
        <v>#REF!</v>
      </c>
      <c r="Q144" s="10"/>
      <c r="R144" s="16">
        <f t="shared" ref="R144:R147" si="58">IFERROR(P144/J144,0)</f>
        <v>0</v>
      </c>
      <c r="S144" s="10"/>
      <c r="T144" s="40">
        <f t="shared" si="57"/>
        <v>0.9</v>
      </c>
      <c r="U144" s="8"/>
    </row>
    <row r="145" spans="1:21" ht="15.75" customHeight="1" x14ac:dyDescent="0.25">
      <c r="A145" s="521"/>
      <c r="B145" s="50" t="s">
        <v>11</v>
      </c>
      <c r="C145" s="50"/>
      <c r="D145" s="50"/>
      <c r="E145" s="50"/>
      <c r="F145" s="51"/>
      <c r="G145" s="15"/>
      <c r="H145" s="46" t="e">
        <f>SUM(H15+H45+H55+H125+H130)</f>
        <v>#REF!</v>
      </c>
      <c r="I145" s="10"/>
      <c r="J145" s="46" t="e">
        <f>SUM(J15+J45+J55+J125+J130+J60)</f>
        <v>#REF!</v>
      </c>
      <c r="K145" s="10"/>
      <c r="L145" s="16" t="e">
        <f>J145/H145</f>
        <v>#REF!</v>
      </c>
      <c r="M145" s="10"/>
      <c r="N145" s="16">
        <f>$F$1</f>
        <v>1</v>
      </c>
      <c r="O145" s="8"/>
      <c r="P145" s="46" t="e">
        <f>SUM(P15+P45+P55+P125+P130+P60)</f>
        <v>#REF!</v>
      </c>
      <c r="Q145" s="10"/>
      <c r="R145" s="16">
        <f t="shared" si="58"/>
        <v>0</v>
      </c>
      <c r="S145" s="10"/>
      <c r="T145" s="40">
        <f t="shared" si="57"/>
        <v>0.9</v>
      </c>
      <c r="U145" s="8"/>
    </row>
    <row r="146" spans="1:21" ht="15.75" customHeight="1" x14ac:dyDescent="0.25">
      <c r="A146" s="521"/>
      <c r="B146" s="50" t="s">
        <v>12</v>
      </c>
      <c r="C146" s="50"/>
      <c r="D146" s="50"/>
      <c r="E146" s="50"/>
      <c r="F146" s="51"/>
      <c r="G146" s="15"/>
      <c r="H146" s="46" t="e">
        <f>SUM(H16+H46+H56+H126+H131)</f>
        <v>#REF!</v>
      </c>
      <c r="I146" s="10"/>
      <c r="J146" s="46" t="e">
        <f>SUM(J16+J46+J56+J126+J131+J61)</f>
        <v>#REF!</v>
      </c>
      <c r="K146" s="10"/>
      <c r="L146" s="16" t="e">
        <f>J146/H146</f>
        <v>#REF!</v>
      </c>
      <c r="M146" s="10"/>
      <c r="N146" s="16">
        <f>$F$1</f>
        <v>1</v>
      </c>
      <c r="O146" s="8"/>
      <c r="P146" s="46" t="e">
        <f>SUM(P16+P46+P56+P126+P131+P61)</f>
        <v>#REF!</v>
      </c>
      <c r="Q146" s="10"/>
      <c r="R146" s="16">
        <f t="shared" si="58"/>
        <v>0</v>
      </c>
      <c r="S146" s="10"/>
      <c r="T146" s="40">
        <f t="shared" si="57"/>
        <v>0.9</v>
      </c>
      <c r="U146" s="8"/>
    </row>
    <row r="147" spans="1:21" ht="15.75" customHeight="1" thickBot="1" x14ac:dyDescent="0.3">
      <c r="A147" s="522"/>
      <c r="B147" s="50" t="s">
        <v>13</v>
      </c>
      <c r="C147" s="50"/>
      <c r="D147" s="50"/>
      <c r="E147" s="50"/>
      <c r="F147" s="51"/>
      <c r="G147" s="8"/>
      <c r="H147" s="46" t="e">
        <f>SUM(H144+H145+H146)</f>
        <v>#REF!</v>
      </c>
      <c r="I147" s="10"/>
      <c r="J147" s="46" t="e">
        <f>SUM(J144+J145+J146)</f>
        <v>#REF!</v>
      </c>
      <c r="K147" s="10"/>
      <c r="L147" s="16" t="e">
        <f>J147/H147</f>
        <v>#REF!</v>
      </c>
      <c r="M147" s="10"/>
      <c r="N147" s="16">
        <f>$F$1</f>
        <v>1</v>
      </c>
      <c r="O147" s="8"/>
      <c r="P147" s="46" t="e">
        <f>SUM(P144+P145+P146)</f>
        <v>#REF!</v>
      </c>
      <c r="Q147" s="10"/>
      <c r="R147" s="16">
        <f t="shared" si="58"/>
        <v>0</v>
      </c>
      <c r="S147" s="10"/>
      <c r="T147" s="40">
        <f t="shared" si="57"/>
        <v>0.9</v>
      </c>
      <c r="U147" s="8"/>
    </row>
    <row r="148" spans="1:21" ht="15.75" thickBot="1" x14ac:dyDescent="0.3">
      <c r="H148"/>
      <c r="J148"/>
      <c r="P148"/>
    </row>
    <row r="149" spans="1:21" ht="15.75" x14ac:dyDescent="0.25">
      <c r="A149" s="523" t="s">
        <v>41</v>
      </c>
      <c r="B149" s="50" t="s">
        <v>10</v>
      </c>
      <c r="C149" s="50"/>
      <c r="D149" s="50"/>
      <c r="E149" s="50"/>
      <c r="F149" s="51"/>
      <c r="G149" s="15"/>
      <c r="H149" s="46" t="e">
        <f>SUM(H59+H69+H74+H79+H84)</f>
        <v>#REF!</v>
      </c>
      <c r="I149" s="10"/>
      <c r="J149" s="46" t="e">
        <f>SUM(J69+J74+J79+J84+J64+J134)</f>
        <v>#REF!</v>
      </c>
      <c r="K149" s="10"/>
      <c r="L149" s="16" t="e">
        <f>J149/H149</f>
        <v>#REF!</v>
      </c>
      <c r="M149" s="10"/>
      <c r="N149" s="16">
        <f>$F$1</f>
        <v>1</v>
      </c>
      <c r="O149" s="8"/>
      <c r="P149" s="46" t="e">
        <f>SUM(P59+P69+P74+P79+P84+P134)</f>
        <v>#REF!</v>
      </c>
      <c r="Q149" s="10"/>
      <c r="R149" s="16">
        <f t="shared" ref="R149:R152" si="59">IFERROR(P149/J149,0)</f>
        <v>0</v>
      </c>
      <c r="S149" s="10"/>
      <c r="T149" s="40">
        <f t="shared" si="57"/>
        <v>0.9</v>
      </c>
    </row>
    <row r="150" spans="1:21" ht="15.75" x14ac:dyDescent="0.25">
      <c r="A150" s="524"/>
      <c r="B150" s="50" t="s">
        <v>11</v>
      </c>
      <c r="C150" s="50"/>
      <c r="D150" s="50"/>
      <c r="E150" s="50"/>
      <c r="F150" s="51"/>
      <c r="G150" s="15"/>
      <c r="H150" s="46" t="e">
        <f>SUM(H60+H70+H75+H80+H85)</f>
        <v>#REF!</v>
      </c>
      <c r="I150" s="10"/>
      <c r="J150" s="46" t="e">
        <f>SUM(J70+J75+J80+J85+J65+J135)</f>
        <v>#REF!</v>
      </c>
      <c r="K150" s="10"/>
      <c r="L150" s="16" t="e">
        <f>J150/H150</f>
        <v>#REF!</v>
      </c>
      <c r="M150" s="10"/>
      <c r="N150" s="16">
        <f>$F$1</f>
        <v>1</v>
      </c>
      <c r="O150" s="8"/>
      <c r="P150" s="46" t="e">
        <f>SUM(P60+P70+P75+P80+P85+P135)</f>
        <v>#REF!</v>
      </c>
      <c r="Q150" s="10"/>
      <c r="R150" s="16">
        <f t="shared" si="59"/>
        <v>0</v>
      </c>
      <c r="S150" s="10"/>
      <c r="T150" s="40">
        <f t="shared" si="57"/>
        <v>0.9</v>
      </c>
    </row>
    <row r="151" spans="1:21" ht="15.75" x14ac:dyDescent="0.25">
      <c r="A151" s="524"/>
      <c r="B151" s="50" t="s">
        <v>12</v>
      </c>
      <c r="C151" s="50"/>
      <c r="D151" s="50"/>
      <c r="E151" s="50"/>
      <c r="F151" s="51"/>
      <c r="G151" s="15"/>
      <c r="H151" s="46" t="e">
        <f>SUM(H61+H71+H76+H81+H86)</f>
        <v>#REF!</v>
      </c>
      <c r="I151" s="10"/>
      <c r="J151" s="46" t="e">
        <f>SUM(J71+J76+J81+J86+J66+J136)</f>
        <v>#REF!</v>
      </c>
      <c r="K151" s="10"/>
      <c r="L151" s="16" t="e">
        <f>J151/H151</f>
        <v>#REF!</v>
      </c>
      <c r="M151" s="10"/>
      <c r="N151" s="16">
        <f>$F$1</f>
        <v>1</v>
      </c>
      <c r="O151" s="8"/>
      <c r="P151" s="46" t="e">
        <f>SUM(P61+P71+P76+P81+P86+P136)</f>
        <v>#REF!</v>
      </c>
      <c r="Q151" s="10"/>
      <c r="R151" s="16">
        <f t="shared" si="59"/>
        <v>0</v>
      </c>
      <c r="S151" s="10"/>
      <c r="T151" s="40">
        <f t="shared" si="57"/>
        <v>0.9</v>
      </c>
    </row>
    <row r="152" spans="1:21" ht="15.75" thickBot="1" x14ac:dyDescent="0.3">
      <c r="A152" s="525"/>
      <c r="B152" s="50" t="s">
        <v>13</v>
      </c>
      <c r="C152" s="50"/>
      <c r="D152" s="50"/>
      <c r="E152" s="50"/>
      <c r="F152" s="51"/>
      <c r="G152" s="8"/>
      <c r="H152" s="46" t="e">
        <f>SUM(H149+H150+H151)</f>
        <v>#REF!</v>
      </c>
      <c r="I152" s="10"/>
      <c r="J152" s="46" t="e">
        <f>SUM(J149+J150+J151)</f>
        <v>#REF!</v>
      </c>
      <c r="K152" s="10"/>
      <c r="L152" s="16" t="e">
        <f>J152/H152</f>
        <v>#REF!</v>
      </c>
      <c r="M152" s="10"/>
      <c r="N152" s="16">
        <f>$F$1</f>
        <v>1</v>
      </c>
      <c r="O152" s="8"/>
      <c r="P152" s="46" t="e">
        <f>SUM(P149+P150+P151)</f>
        <v>#REF!</v>
      </c>
      <c r="Q152" s="10"/>
      <c r="R152" s="16">
        <f t="shared" si="59"/>
        <v>0</v>
      </c>
      <c r="S152" s="10"/>
      <c r="T152" s="40">
        <f t="shared" si="57"/>
        <v>0.9</v>
      </c>
    </row>
    <row r="153" spans="1:21" ht="15.75" thickBot="1" x14ac:dyDescent="0.3">
      <c r="H153"/>
      <c r="J153"/>
      <c r="P153"/>
    </row>
    <row r="154" spans="1:21" ht="15.75" x14ac:dyDescent="0.25">
      <c r="A154" s="526" t="s">
        <v>42</v>
      </c>
      <c r="B154" s="50" t="s">
        <v>10</v>
      </c>
      <c r="C154" s="50"/>
      <c r="D154" s="50"/>
      <c r="E154" s="50"/>
      <c r="F154" s="51"/>
      <c r="G154" s="15"/>
      <c r="H154" s="46" t="e">
        <f>SUM(H89+H94+H99+H104+H109+H114+H119)</f>
        <v>#REF!</v>
      </c>
      <c r="I154" s="10"/>
      <c r="J154" s="46" t="e">
        <f>SUM(J89+J94+J99+J104+J109+J114+J119)</f>
        <v>#REF!</v>
      </c>
      <c r="K154" s="10"/>
      <c r="L154" s="16" t="e">
        <f>J154/H154</f>
        <v>#REF!</v>
      </c>
      <c r="M154" s="10"/>
      <c r="N154" s="16">
        <f>$F$1</f>
        <v>1</v>
      </c>
      <c r="O154" s="8"/>
      <c r="P154" s="46" t="e">
        <f>SUM(P89+P94+P99+P104+P109+P114+P119)</f>
        <v>#REF!</v>
      </c>
      <c r="Q154" s="10"/>
      <c r="R154" s="16">
        <f t="shared" ref="R154:R157" si="60">IFERROR(P154/J154,0)</f>
        <v>0</v>
      </c>
      <c r="S154" s="10"/>
      <c r="T154" s="40">
        <f t="shared" si="57"/>
        <v>0.9</v>
      </c>
    </row>
    <row r="155" spans="1:21" ht="15.75" x14ac:dyDescent="0.25">
      <c r="A155" s="527"/>
      <c r="B155" s="50" t="s">
        <v>11</v>
      </c>
      <c r="C155" s="50"/>
      <c r="D155" s="50"/>
      <c r="E155" s="50"/>
      <c r="F155" s="51"/>
      <c r="G155" s="15"/>
      <c r="H155" s="46" t="e">
        <f>SUM(H90+H95+H100+H105+H110+H115+H120)</f>
        <v>#REF!</v>
      </c>
      <c r="I155" s="10"/>
      <c r="J155" s="46" t="e">
        <f>SUM(J90+J95+J100+J105+J110+J115+J120)</f>
        <v>#REF!</v>
      </c>
      <c r="K155" s="10"/>
      <c r="L155" s="16" t="e">
        <f>J155/H155</f>
        <v>#REF!</v>
      </c>
      <c r="M155" s="10"/>
      <c r="N155" s="16">
        <f>$F$1</f>
        <v>1</v>
      </c>
      <c r="O155" s="8"/>
      <c r="P155" s="46" t="e">
        <f>SUM(P90+P95+P100+P105+P110+P115+P120)</f>
        <v>#REF!</v>
      </c>
      <c r="Q155" s="10"/>
      <c r="R155" s="16">
        <f t="shared" si="60"/>
        <v>0</v>
      </c>
      <c r="S155" s="10"/>
      <c r="T155" s="40">
        <f t="shared" si="57"/>
        <v>0.9</v>
      </c>
    </row>
    <row r="156" spans="1:21" ht="15.75" x14ac:dyDescent="0.25">
      <c r="A156" s="527"/>
      <c r="B156" s="50" t="s">
        <v>12</v>
      </c>
      <c r="C156" s="50"/>
      <c r="D156" s="50"/>
      <c r="E156" s="50"/>
      <c r="F156" s="51"/>
      <c r="G156" s="15"/>
      <c r="H156" s="46" t="e">
        <f>SUM(H91+H96+H101+H106+H111+H116+H121)</f>
        <v>#REF!</v>
      </c>
      <c r="I156" s="10"/>
      <c r="J156" s="46" t="e">
        <f>SUM(J91+J96+J101+J106+J111+J116+J121)</f>
        <v>#REF!</v>
      </c>
      <c r="K156" s="10"/>
      <c r="L156" s="16" t="e">
        <f>J156/H156</f>
        <v>#REF!</v>
      </c>
      <c r="M156" s="10"/>
      <c r="N156" s="16">
        <f>$F$1</f>
        <v>1</v>
      </c>
      <c r="O156" s="8"/>
      <c r="P156" s="46" t="e">
        <f>SUM(P91+P96+P101+P106+P111+P116+P121)</f>
        <v>#REF!</v>
      </c>
      <c r="Q156" s="10"/>
      <c r="R156" s="16">
        <f t="shared" si="60"/>
        <v>0</v>
      </c>
      <c r="S156" s="10"/>
      <c r="T156" s="40">
        <f t="shared" si="57"/>
        <v>0.9</v>
      </c>
    </row>
    <row r="157" spans="1:21" ht="15.75" thickBot="1" x14ac:dyDescent="0.3">
      <c r="A157" s="528"/>
      <c r="B157" s="50" t="s">
        <v>13</v>
      </c>
      <c r="C157" s="50"/>
      <c r="D157" s="50"/>
      <c r="E157" s="50"/>
      <c r="F157" s="51"/>
      <c r="G157" s="8"/>
      <c r="H157" s="46" t="e">
        <f>SUM(H154+H155+H156)</f>
        <v>#REF!</v>
      </c>
      <c r="I157" s="10"/>
      <c r="J157" s="46" t="e">
        <f>SUM(J154+J155+J156)</f>
        <v>#REF!</v>
      </c>
      <c r="K157" s="10"/>
      <c r="L157" s="16" t="e">
        <f>J157/H157</f>
        <v>#REF!</v>
      </c>
      <c r="M157" s="10"/>
      <c r="N157" s="16">
        <f>$F$1</f>
        <v>1</v>
      </c>
      <c r="O157" s="8"/>
      <c r="P157" s="46" t="e">
        <f>SUM(P154+P155+P156)</f>
        <v>#REF!</v>
      </c>
      <c r="Q157" s="10"/>
      <c r="R157" s="16">
        <f t="shared" si="60"/>
        <v>0</v>
      </c>
      <c r="S157" s="10"/>
      <c r="T157" s="40">
        <f t="shared" si="57"/>
        <v>0.9</v>
      </c>
    </row>
    <row r="158" spans="1:21" ht="15.75" thickBot="1" x14ac:dyDescent="0.3">
      <c r="H158"/>
      <c r="J158"/>
      <c r="P158"/>
    </row>
    <row r="159" spans="1:21" ht="29.25" customHeight="1" thickBot="1" x14ac:dyDescent="0.3">
      <c r="E159" s="149" t="s">
        <v>43</v>
      </c>
      <c r="F159" s="150"/>
      <c r="H159" s="151" t="e">
        <f>SUM(H142+H147+H153+H157)</f>
        <v>#REF!</v>
      </c>
      <c r="J159" s="151" t="e">
        <f>SUM(J142+J147+J152+J157)</f>
        <v>#REF!</v>
      </c>
      <c r="L159" s="152" t="e">
        <f>SUM(J159/H159)</f>
        <v>#REF!</v>
      </c>
      <c r="N159" s="16">
        <f>$F$1</f>
        <v>1</v>
      </c>
      <c r="P159" s="151" t="e">
        <f>SUM(P142+P147+P152+P157)</f>
        <v>#REF!</v>
      </c>
      <c r="R159" s="152">
        <f>IFERROR(P159/J159,0)</f>
        <v>0</v>
      </c>
      <c r="T159" s="153">
        <f>IFERROR(P159/J159,0)</f>
        <v>0</v>
      </c>
    </row>
  </sheetData>
  <mergeCells count="139">
    <mergeCell ref="A144:A147"/>
    <mergeCell ref="A149:A152"/>
    <mergeCell ref="A154:A157"/>
    <mergeCell ref="A134:A137"/>
    <mergeCell ref="B134:F134"/>
    <mergeCell ref="B135:F135"/>
    <mergeCell ref="B136:F136"/>
    <mergeCell ref="B137:F137"/>
    <mergeCell ref="A139:A142"/>
    <mergeCell ref="A124:A127"/>
    <mergeCell ref="B124:F124"/>
    <mergeCell ref="B125:F125"/>
    <mergeCell ref="B126:F126"/>
    <mergeCell ref="B127:F127"/>
    <mergeCell ref="A129:A132"/>
    <mergeCell ref="B129:F129"/>
    <mergeCell ref="B130:F130"/>
    <mergeCell ref="B131:F131"/>
    <mergeCell ref="B132:F132"/>
    <mergeCell ref="A114:A117"/>
    <mergeCell ref="B114:F114"/>
    <mergeCell ref="B115:F115"/>
    <mergeCell ref="B116:F116"/>
    <mergeCell ref="B117:F117"/>
    <mergeCell ref="A119:A122"/>
    <mergeCell ref="B119:F119"/>
    <mergeCell ref="B120:F120"/>
    <mergeCell ref="B121:F121"/>
    <mergeCell ref="B122:F122"/>
    <mergeCell ref="A104:A107"/>
    <mergeCell ref="B104:F104"/>
    <mergeCell ref="B105:F105"/>
    <mergeCell ref="B106:F106"/>
    <mergeCell ref="B107:F107"/>
    <mergeCell ref="A109:A112"/>
    <mergeCell ref="B109:F109"/>
    <mergeCell ref="B110:F110"/>
    <mergeCell ref="B111:F111"/>
    <mergeCell ref="B112:F112"/>
    <mergeCell ref="A94:A97"/>
    <mergeCell ref="B94:F94"/>
    <mergeCell ref="B95:F95"/>
    <mergeCell ref="B96:F96"/>
    <mergeCell ref="B97:F97"/>
    <mergeCell ref="A99:A102"/>
    <mergeCell ref="B99:F99"/>
    <mergeCell ref="B100:F100"/>
    <mergeCell ref="B101:F101"/>
    <mergeCell ref="B102:F102"/>
    <mergeCell ref="A84:A87"/>
    <mergeCell ref="B84:F84"/>
    <mergeCell ref="B85:F85"/>
    <mergeCell ref="B86:F86"/>
    <mergeCell ref="B87:F87"/>
    <mergeCell ref="A89:A92"/>
    <mergeCell ref="B89:F89"/>
    <mergeCell ref="B90:F90"/>
    <mergeCell ref="B91:F91"/>
    <mergeCell ref="B92:F92"/>
    <mergeCell ref="A74:A77"/>
    <mergeCell ref="B74:F74"/>
    <mergeCell ref="B75:F75"/>
    <mergeCell ref="B76:F76"/>
    <mergeCell ref="B77:F77"/>
    <mergeCell ref="A79:A82"/>
    <mergeCell ref="B79:F79"/>
    <mergeCell ref="B80:F80"/>
    <mergeCell ref="B81:F81"/>
    <mergeCell ref="B82:F82"/>
    <mergeCell ref="A64:A67"/>
    <mergeCell ref="B64:F64"/>
    <mergeCell ref="B65:F65"/>
    <mergeCell ref="B66:F66"/>
    <mergeCell ref="B67:F67"/>
    <mergeCell ref="A69:A72"/>
    <mergeCell ref="B69:F69"/>
    <mergeCell ref="B70:F70"/>
    <mergeCell ref="B71:F71"/>
    <mergeCell ref="B72:F72"/>
    <mergeCell ref="A54:A57"/>
    <mergeCell ref="B54:F54"/>
    <mergeCell ref="B55:F55"/>
    <mergeCell ref="B56:F56"/>
    <mergeCell ref="B57:F57"/>
    <mergeCell ref="A59:A62"/>
    <mergeCell ref="B59:F59"/>
    <mergeCell ref="B60:F60"/>
    <mergeCell ref="B61:F61"/>
    <mergeCell ref="B62:F62"/>
    <mergeCell ref="A44:A47"/>
    <mergeCell ref="B44:F44"/>
    <mergeCell ref="B45:F45"/>
    <mergeCell ref="B46:F46"/>
    <mergeCell ref="B47:F47"/>
    <mergeCell ref="A49:A52"/>
    <mergeCell ref="B49:F49"/>
    <mergeCell ref="B50:F50"/>
    <mergeCell ref="B51:F51"/>
    <mergeCell ref="B52:F52"/>
    <mergeCell ref="A34:A37"/>
    <mergeCell ref="B34:F34"/>
    <mergeCell ref="B35:F35"/>
    <mergeCell ref="B36:F36"/>
    <mergeCell ref="B37:F37"/>
    <mergeCell ref="A39:A42"/>
    <mergeCell ref="B39:F39"/>
    <mergeCell ref="B40:F40"/>
    <mergeCell ref="B41:F41"/>
    <mergeCell ref="B42:F42"/>
    <mergeCell ref="A24:A27"/>
    <mergeCell ref="B24:F24"/>
    <mergeCell ref="B25:F25"/>
    <mergeCell ref="B26:F26"/>
    <mergeCell ref="B27:F27"/>
    <mergeCell ref="A29:A32"/>
    <mergeCell ref="B29:F29"/>
    <mergeCell ref="B30:F30"/>
    <mergeCell ref="B31:F31"/>
    <mergeCell ref="B32:F32"/>
    <mergeCell ref="A14:A17"/>
    <mergeCell ref="B14:F14"/>
    <mergeCell ref="B15:F15"/>
    <mergeCell ref="B16:F16"/>
    <mergeCell ref="B17:F17"/>
    <mergeCell ref="A19:A22"/>
    <mergeCell ref="B19:F19"/>
    <mergeCell ref="B20:F20"/>
    <mergeCell ref="B21:F21"/>
    <mergeCell ref="B22:F22"/>
    <mergeCell ref="A4:A7"/>
    <mergeCell ref="B4:F4"/>
    <mergeCell ref="B5:F5"/>
    <mergeCell ref="B6:F6"/>
    <mergeCell ref="B7:F7"/>
    <mergeCell ref="A9:A12"/>
    <mergeCell ref="B9:F9"/>
    <mergeCell ref="B10:F10"/>
    <mergeCell ref="B11:F11"/>
    <mergeCell ref="B12:F12"/>
  </mergeCells>
  <conditionalFormatting sqref="N4:N7 N9:N12 N14:N17 N19:N22 N24:N27 N29:N32 N34:N37 N39:N42 N44:N47 N49:N52 N54:N57 N59:N62 N64:N67 N69:N72 N74:N77 N79:N82 N84:N87 N89:N92 N94:N97 N99:N102 N104:N107 N109:N112 N114:N117 N119:N122 N124:N127 N129:N132 N139:N142 N144:N147 N149:N152 N154:N157 N159">
    <cfRule type="expression" dxfId="199" priority="10">
      <formula>$L4=$N4</formula>
    </cfRule>
    <cfRule type="expression" dxfId="198" priority="11">
      <formula>$L4&gt;$N4</formula>
    </cfRule>
    <cfRule type="expression" dxfId="197" priority="12">
      <formula>$L4&lt;$N4</formula>
    </cfRule>
  </conditionalFormatting>
  <conditionalFormatting sqref="T4:T7 T9:T12 T14:T17 T19:T22 T24:T27 T29:T32 T34:T37 T39:T42 T44:T47 T49:T52 T54:T57 T59:T62 T64:T67 T69:T72 T74:T77 T79:T82 T84:T87 T89:T92 T94:T97 T99:T102 T104:T107 T109:T112 T114:T117 T119:T122 T124:T127 T129:T132 T139:T142 T144:T147 T149:T152 T154:T157 T159">
    <cfRule type="expression" dxfId="196" priority="7">
      <formula>$R4=$T4</formula>
    </cfRule>
    <cfRule type="expression" dxfId="195" priority="8">
      <formula>$R4&gt;$T4</formula>
    </cfRule>
    <cfRule type="expression" dxfId="194" priority="9">
      <formula>$R4&lt;$T4</formula>
    </cfRule>
  </conditionalFormatting>
  <conditionalFormatting sqref="N134:N137">
    <cfRule type="expression" dxfId="193" priority="4">
      <formula>$L134=$N134</formula>
    </cfRule>
    <cfRule type="expression" dxfId="192" priority="5">
      <formula>$L134&gt;$N134</formula>
    </cfRule>
    <cfRule type="expression" dxfId="191" priority="6">
      <formula>$L134&lt;$N134</formula>
    </cfRule>
  </conditionalFormatting>
  <conditionalFormatting sqref="T134:T137">
    <cfRule type="expression" dxfId="190" priority="1">
      <formula>$R134=$T134</formula>
    </cfRule>
    <cfRule type="expression" dxfId="189" priority="2">
      <formula>$R134&gt;$T134</formula>
    </cfRule>
    <cfRule type="expression" dxfId="188" priority="3">
      <formula>$R134&lt;$T134</formula>
    </cfRule>
  </conditionalFormatting>
  <pageMargins left="0.7" right="0.7" top="0.75" bottom="0.75" header="0.3" footer="0.3"/>
  <pageSetup paperSize="9" scale="45" fitToWidth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47436-137B-43EE-8DBD-B52CEB5B66E4}">
  <sheetPr>
    <tabColor rgb="FFFF0000"/>
    <pageSetUpPr fitToPage="1"/>
  </sheetPr>
  <dimension ref="A1:AE159"/>
  <sheetViews>
    <sheetView topLeftCell="A148" zoomScale="120" zoomScaleNormal="120" workbookViewId="0">
      <selection activeCell="H160" sqref="H160"/>
    </sheetView>
  </sheetViews>
  <sheetFormatPr defaultRowHeight="15" x14ac:dyDescent="0.25"/>
  <cols>
    <col min="1" max="1" width="29" customWidth="1"/>
    <col min="2" max="2" width="7.85546875" customWidth="1"/>
    <col min="3" max="3" width="11.85546875" customWidth="1"/>
    <col min="4" max="4" width="4.140625" customWidth="1"/>
    <col min="5" max="5" width="7.140625" customWidth="1"/>
    <col min="6" max="6" width="8.140625" customWidth="1"/>
    <col min="7" max="7" width="2.140625" customWidth="1"/>
    <col min="8" max="8" width="10.85546875" style="49" customWidth="1"/>
    <col min="9" max="9" width="2.140625" customWidth="1"/>
    <col min="10" max="10" width="11" style="49" customWidth="1"/>
    <col min="11" max="11" width="2.85546875" customWidth="1"/>
    <col min="12" max="12" width="9" customWidth="1"/>
    <col min="13" max="13" width="2.140625" customWidth="1"/>
    <col min="14" max="14" width="9.140625" customWidth="1"/>
    <col min="15" max="15" width="2.140625" customWidth="1"/>
    <col min="16" max="16" width="10.42578125" style="49" customWidth="1"/>
    <col min="17" max="17" width="8.5703125" customWidth="1"/>
    <col min="18" max="18" width="11.140625" customWidth="1"/>
    <col min="19" max="19" width="1.140625" customWidth="1"/>
    <col min="20" max="20" width="8.85546875" bestFit="1" customWidth="1"/>
    <col min="21" max="21" width="9.85546875" customWidth="1"/>
    <col min="22" max="29" width="9.140625" customWidth="1"/>
  </cols>
  <sheetData>
    <row r="1" spans="1:31" ht="26.25" customHeight="1" x14ac:dyDescent="0.25">
      <c r="A1" s="8"/>
      <c r="B1" s="9" t="s">
        <v>0</v>
      </c>
      <c r="C1" s="187">
        <v>44074</v>
      </c>
      <c r="D1" s="8"/>
      <c r="E1" s="9" t="s">
        <v>1</v>
      </c>
      <c r="F1" s="65">
        <v>1</v>
      </c>
      <c r="G1" s="8"/>
      <c r="H1" s="47"/>
      <c r="I1" s="10"/>
      <c r="J1" s="47"/>
      <c r="K1" s="10"/>
      <c r="L1" s="11"/>
      <c r="M1" s="10"/>
      <c r="N1" s="11"/>
      <c r="O1" s="8"/>
      <c r="P1" s="46" t="s">
        <v>2</v>
      </c>
      <c r="Q1" s="65">
        <v>0.9</v>
      </c>
      <c r="R1" s="12"/>
      <c r="S1" s="12"/>
      <c r="T1" s="8"/>
      <c r="U1" s="8"/>
      <c r="AC1" t="s">
        <v>3</v>
      </c>
    </row>
    <row r="2" spans="1:31" ht="62.45" customHeight="1" x14ac:dyDescent="0.25">
      <c r="A2" s="13"/>
      <c r="B2" s="13"/>
      <c r="C2" s="13"/>
      <c r="D2" s="13"/>
      <c r="E2" s="13"/>
      <c r="F2" s="13"/>
      <c r="G2" s="13"/>
      <c r="H2" s="17" t="s">
        <v>4</v>
      </c>
      <c r="I2" s="13"/>
      <c r="J2" s="17" t="s">
        <v>5</v>
      </c>
      <c r="K2" s="13"/>
      <c r="L2" s="14" t="s">
        <v>6</v>
      </c>
      <c r="M2" s="13"/>
      <c r="N2" s="14" t="s">
        <v>2</v>
      </c>
      <c r="O2" s="13"/>
      <c r="P2" s="17" t="s">
        <v>7</v>
      </c>
      <c r="Q2" s="13"/>
      <c r="R2" s="13" t="s">
        <v>8</v>
      </c>
      <c r="S2" s="13"/>
      <c r="T2" s="13" t="s">
        <v>2</v>
      </c>
      <c r="U2" s="13"/>
    </row>
    <row r="3" spans="1:31" x14ac:dyDescent="0.25">
      <c r="A3" s="13"/>
      <c r="B3" s="13"/>
      <c r="C3" s="13"/>
      <c r="D3" s="13"/>
      <c r="E3" s="13"/>
      <c r="F3" s="13"/>
      <c r="G3" s="13"/>
      <c r="H3" s="17"/>
      <c r="I3" s="13"/>
      <c r="J3" s="17"/>
      <c r="K3" s="13"/>
      <c r="L3" s="14"/>
      <c r="M3" s="13"/>
      <c r="N3" s="14"/>
      <c r="O3" s="13"/>
      <c r="P3" s="17"/>
      <c r="Q3" s="13"/>
      <c r="R3" s="13"/>
      <c r="S3" s="13"/>
      <c r="T3" s="13"/>
      <c r="U3" s="13"/>
    </row>
    <row r="4" spans="1:31" ht="15.75" x14ac:dyDescent="0.25">
      <c r="A4" s="502" t="s">
        <v>1386</v>
      </c>
      <c r="B4" s="504" t="s">
        <v>10</v>
      </c>
      <c r="C4" s="504"/>
      <c r="D4" s="504"/>
      <c r="E4" s="504"/>
      <c r="F4" s="504"/>
      <c r="G4" s="15"/>
      <c r="H4" s="46" t="e">
        <f>COUNTIFS(tbl_cleaning[Housing Team],"HOUSING WEST TEAM 1",#REF!,"&lt;&gt;NV")</f>
        <v>#REF!</v>
      </c>
      <c r="I4" s="10"/>
      <c r="J4" s="46" t="e">
        <f>SUM(COUNTIFS(tbl_cleaning[Housing Team],"HOUSING WEST TEAM 1",#REF!,{"1","2","3","4"}))</f>
        <v>#REF!</v>
      </c>
      <c r="K4" s="10"/>
      <c r="L4" s="16" t="e">
        <f>J4/H4</f>
        <v>#REF!</v>
      </c>
      <c r="M4" s="10"/>
      <c r="N4" s="16">
        <f>$F$1</f>
        <v>1</v>
      </c>
      <c r="O4" s="8"/>
      <c r="P4" s="46" t="e">
        <f>COUNTIFS(tbl_cleaning[Housing Team],"HOUSING WEST TEAM 1",#REF!,3)+COUNTIFS(tbl_cleaning[Housing Team],"HOUSING WEST TEAM 1",#REF!,4)</f>
        <v>#REF!</v>
      </c>
      <c r="Q4" s="10"/>
      <c r="R4" s="16">
        <f t="shared" ref="R4:R7" si="0">IFERROR(P4/J4,0)</f>
        <v>0</v>
      </c>
      <c r="S4" s="10"/>
      <c r="T4" s="40">
        <f>$Q$1</f>
        <v>0.9</v>
      </c>
      <c r="U4" s="13"/>
    </row>
    <row r="5" spans="1:31" ht="15.75" x14ac:dyDescent="0.25">
      <c r="A5" s="502"/>
      <c r="B5" s="504" t="s">
        <v>11</v>
      </c>
      <c r="C5" s="504"/>
      <c r="D5" s="504"/>
      <c r="E5" s="504"/>
      <c r="F5" s="504"/>
      <c r="G5" s="15"/>
      <c r="H5" s="46" t="e">
        <f>COUNTIFS(tbl_cleaning[Housing Team],"HOUSING WEST TEAM 1",#REF!,"&lt;&gt;NV")</f>
        <v>#REF!</v>
      </c>
      <c r="I5" s="10"/>
      <c r="J5" s="46" t="e" cm="1">
        <f t="array" ref="J5">SUM(COUNTIFS(tbl_cleaning[Housing Team],"HOUSING WEST TEAM 1",#REF!,{"1","2","3","4"}))</f>
        <v>#REF!</v>
      </c>
      <c r="K5" s="10"/>
      <c r="L5" s="16" t="e">
        <f>J5/H5</f>
        <v>#REF!</v>
      </c>
      <c r="M5" s="10"/>
      <c r="N5" s="16">
        <f>$F$1</f>
        <v>1</v>
      </c>
      <c r="O5" s="8"/>
      <c r="P5" s="46" t="e">
        <f>COUNTIFS(tbl_cleaning[Housing Team],"HOUSING WEST TEAM 1",#REF!,3)+COUNTIFS(tbl_cleaning[Housing Team],"HOUSING WEST TEAM 1",#REF!,4)</f>
        <v>#REF!</v>
      </c>
      <c r="Q5" s="10"/>
      <c r="R5" s="16">
        <f t="shared" si="0"/>
        <v>0</v>
      </c>
      <c r="S5" s="10"/>
      <c r="T5" s="40">
        <f t="shared" ref="T5:T7" si="1">$Q$1</f>
        <v>0.9</v>
      </c>
      <c r="U5" s="13"/>
    </row>
    <row r="6" spans="1:31" ht="15.75" x14ac:dyDescent="0.25">
      <c r="A6" s="502"/>
      <c r="B6" s="504" t="s">
        <v>12</v>
      </c>
      <c r="C6" s="504"/>
      <c r="D6" s="504"/>
      <c r="E6" s="504"/>
      <c r="F6" s="504"/>
      <c r="G6" s="15"/>
      <c r="H6" s="46" t="e">
        <f>COUNTIFS(#REF!,"HOUSING WEST TEAM 1",#REF!,"&lt;&gt;NV")</f>
        <v>#REF!</v>
      </c>
      <c r="I6" s="10"/>
      <c r="J6" s="46" t="e">
        <f t="array" ref="J6">SUM(COUNTIFS(#REF!,"HOUSING WEST TEAM 1",#REF!,{"1","2","3","4"}))</f>
        <v>#REF!</v>
      </c>
      <c r="K6" s="10"/>
      <c r="L6" s="16" t="e">
        <f>J6/H6</f>
        <v>#REF!</v>
      </c>
      <c r="M6" s="10"/>
      <c r="N6" s="16">
        <f>$F$1</f>
        <v>1</v>
      </c>
      <c r="O6" s="8"/>
      <c r="P6" s="46" t="e">
        <f>COUNTIFS(#REF!,"HOUSING WEST TEAM 1",#REF!,3)+COUNTIFS(#REF!,"HOUSING WEST TEAM 1",#REF!,4)</f>
        <v>#REF!</v>
      </c>
      <c r="Q6" s="10"/>
      <c r="R6" s="16">
        <f t="shared" si="0"/>
        <v>0</v>
      </c>
      <c r="S6" s="10"/>
      <c r="T6" s="40">
        <f t="shared" si="1"/>
        <v>0.9</v>
      </c>
      <c r="U6" s="13"/>
    </row>
    <row r="7" spans="1:31" x14ac:dyDescent="0.25">
      <c r="A7" s="503"/>
      <c r="B7" s="504" t="s">
        <v>13</v>
      </c>
      <c r="C7" s="504"/>
      <c r="D7" s="504"/>
      <c r="E7" s="504"/>
      <c r="F7" s="504"/>
      <c r="G7" s="8"/>
      <c r="H7" s="46" t="e">
        <f>H4+H5+H6</f>
        <v>#REF!</v>
      </c>
      <c r="I7" s="10"/>
      <c r="J7" s="46" t="e">
        <f>SUM(J4:J6)</f>
        <v>#REF!</v>
      </c>
      <c r="K7" s="10"/>
      <c r="L7" s="16" t="e">
        <f>J7/H7</f>
        <v>#REF!</v>
      </c>
      <c r="M7" s="10"/>
      <c r="N7" s="16">
        <f>$F$1</f>
        <v>1</v>
      </c>
      <c r="O7" s="8"/>
      <c r="P7" s="46" t="e">
        <f>SUM(P4:P6)</f>
        <v>#REF!</v>
      </c>
      <c r="Q7" s="10"/>
      <c r="R7" s="16">
        <f t="shared" si="0"/>
        <v>0</v>
      </c>
      <c r="S7" s="10"/>
      <c r="T7" s="40">
        <f t="shared" si="1"/>
        <v>0.9</v>
      </c>
      <c r="U7" s="13"/>
    </row>
    <row r="8" spans="1:31" x14ac:dyDescent="0.25">
      <c r="H8"/>
      <c r="J8"/>
      <c r="P8"/>
    </row>
    <row r="9" spans="1:31" ht="15.75" x14ac:dyDescent="0.25">
      <c r="A9" s="502" t="s">
        <v>1385</v>
      </c>
      <c r="B9" s="504" t="s">
        <v>10</v>
      </c>
      <c r="C9" s="504"/>
      <c r="D9" s="504"/>
      <c r="E9" s="504"/>
      <c r="F9" s="504"/>
      <c r="G9" s="15"/>
      <c r="H9" s="46" t="e">
        <f>COUNTIFS(tbl_cleaning[Housing Team],"HOUSING WEST TEAM 2",#REF!,"&lt;&gt;NV")</f>
        <v>#REF!</v>
      </c>
      <c r="I9" s="10"/>
      <c r="J9" s="46" t="e" cm="1">
        <f t="array" ref="J9">SUM(COUNTIFS(tbl_cleaning[Housing Team],"HOUSING WEST TEAM 2",#REF!,{"1","2","3","4"}))</f>
        <v>#REF!</v>
      </c>
      <c r="K9" s="10"/>
      <c r="L9" s="16" t="e">
        <f>J9/H9</f>
        <v>#REF!</v>
      </c>
      <c r="M9" s="10"/>
      <c r="N9" s="16">
        <f>$F$1</f>
        <v>1</v>
      </c>
      <c r="O9" s="8"/>
      <c r="P9" s="46" t="e">
        <f>COUNTIFS(tbl_cleaning[Housing Team],"HOUSING WEST TEAM 2",#REF!,3)+COUNTIFS(tbl_cleaning[Housing Team],"HOUSING WEST TEAM 2",#REF!,4)</f>
        <v>#REF!</v>
      </c>
      <c r="Q9" s="10"/>
      <c r="R9" s="16">
        <f t="shared" ref="R9:R12" si="2">IFERROR(P9/J9,0)</f>
        <v>0</v>
      </c>
      <c r="S9" s="10"/>
      <c r="T9" s="40">
        <f t="shared" ref="T9:T12" si="3">$Q$1</f>
        <v>0.9</v>
      </c>
      <c r="U9" s="8"/>
    </row>
    <row r="10" spans="1:31" ht="15.75" x14ac:dyDescent="0.25">
      <c r="A10" s="502"/>
      <c r="B10" s="504" t="s">
        <v>11</v>
      </c>
      <c r="C10" s="504"/>
      <c r="D10" s="504"/>
      <c r="E10" s="504"/>
      <c r="F10" s="504"/>
      <c r="G10" s="15"/>
      <c r="H10" s="46" t="e">
        <f>COUNTIFS(tbl_cleaning[Housing Team],"HOUSING WEST TEAM 2",#REF!,"&lt;&gt;NV")</f>
        <v>#REF!</v>
      </c>
      <c r="I10" s="10"/>
      <c r="J10" s="46" t="e" cm="1">
        <f t="array" ref="J10">SUM(COUNTIFS(tbl_cleaning[Housing Team],"HOUSING WEST TEAM 2",#REF!,{"1","2","3","4"}))</f>
        <v>#REF!</v>
      </c>
      <c r="K10" s="10"/>
      <c r="L10" s="16" t="e">
        <f>J10/H10</f>
        <v>#REF!</v>
      </c>
      <c r="M10" s="10"/>
      <c r="N10" s="16">
        <f>$F$1</f>
        <v>1</v>
      </c>
      <c r="O10" s="8"/>
      <c r="P10" s="46" t="e">
        <f>COUNTIFS(tbl_cleaning[Housing Team],"HOUSING WEST TEAM 2",#REF!,3)+COUNTIFS(tbl_cleaning[Housing Team],"HOUSING WEST TEAM 2",#REF!,4)</f>
        <v>#REF!</v>
      </c>
      <c r="Q10" s="10"/>
      <c r="R10" s="16">
        <f t="shared" si="2"/>
        <v>0</v>
      </c>
      <c r="S10" s="10"/>
      <c r="T10" s="40">
        <f t="shared" si="3"/>
        <v>0.9</v>
      </c>
      <c r="U10" s="8"/>
      <c r="AE10" t="s">
        <v>3</v>
      </c>
    </row>
    <row r="11" spans="1:31" ht="15.75" x14ac:dyDescent="0.25">
      <c r="A11" s="502"/>
      <c r="B11" s="504" t="s">
        <v>12</v>
      </c>
      <c r="C11" s="504"/>
      <c r="D11" s="504"/>
      <c r="E11" s="504"/>
      <c r="F11" s="504"/>
      <c r="G11" s="15"/>
      <c r="H11" s="46" t="e">
        <f>COUNTIFS(#REF!,"HOUSING WEST TEAM 2",#REF!,"&lt;&gt;NV")</f>
        <v>#REF!</v>
      </c>
      <c r="I11" s="10"/>
      <c r="J11" s="46" t="e">
        <f t="array" ref="J11">SUM(COUNTIFS(#REF!,"HOUSING WEST TEAM 2",#REF!,{"1","2","3","4"}))</f>
        <v>#REF!</v>
      </c>
      <c r="K11" s="10"/>
      <c r="L11" s="16" t="e">
        <f>J11/H11</f>
        <v>#REF!</v>
      </c>
      <c r="M11" s="10"/>
      <c r="N11" s="16">
        <f>$F$1</f>
        <v>1</v>
      </c>
      <c r="O11" s="8"/>
      <c r="P11" s="46" t="e">
        <f>COUNTIFS(#REF!,"HOUSING WEST TEAM 2",#REF!,3)+COUNTIFS(#REF!,"HOUSING WEST TEAM 2",#REF!,4)</f>
        <v>#REF!</v>
      </c>
      <c r="Q11" s="10"/>
      <c r="R11" s="16">
        <f t="shared" si="2"/>
        <v>0</v>
      </c>
      <c r="S11" s="10"/>
      <c r="T11" s="40">
        <f t="shared" si="3"/>
        <v>0.9</v>
      </c>
      <c r="U11" s="8"/>
    </row>
    <row r="12" spans="1:31" x14ac:dyDescent="0.25">
      <c r="A12" s="503"/>
      <c r="B12" s="504" t="s">
        <v>13</v>
      </c>
      <c r="C12" s="504"/>
      <c r="D12" s="504"/>
      <c r="E12" s="504"/>
      <c r="F12" s="504"/>
      <c r="G12" s="8"/>
      <c r="H12" s="46" t="e">
        <f>H9+H10+H11</f>
        <v>#REF!</v>
      </c>
      <c r="I12" s="10"/>
      <c r="J12" s="46" t="e">
        <f>SUM(J9:J11)</f>
        <v>#REF!</v>
      </c>
      <c r="K12" s="10"/>
      <c r="L12" s="16" t="e">
        <f>J12/H12</f>
        <v>#REF!</v>
      </c>
      <c r="M12" s="10"/>
      <c r="N12" s="16">
        <f>$F$1</f>
        <v>1</v>
      </c>
      <c r="O12" s="8"/>
      <c r="P12" s="46" t="e">
        <f>SUM(P9:P11)</f>
        <v>#REF!</v>
      </c>
      <c r="Q12" s="10"/>
      <c r="R12" s="16">
        <f t="shared" si="2"/>
        <v>0</v>
      </c>
      <c r="S12" s="10"/>
      <c r="T12" s="40">
        <f t="shared" si="3"/>
        <v>0.9</v>
      </c>
      <c r="U12" s="8"/>
    </row>
    <row r="13" spans="1:31" x14ac:dyDescent="0.25">
      <c r="H13"/>
      <c r="J13"/>
      <c r="P13"/>
    </row>
    <row r="14" spans="1:31" ht="15.75" x14ac:dyDescent="0.25">
      <c r="A14" s="505" t="s">
        <v>1371</v>
      </c>
      <c r="B14" s="504" t="s">
        <v>10</v>
      </c>
      <c r="C14" s="504"/>
      <c r="D14" s="504"/>
      <c r="E14" s="504"/>
      <c r="F14" s="504"/>
      <c r="G14" s="15"/>
      <c r="H14" s="46" t="e">
        <f>COUNTIFS(tbl_cleaning[Housing Team],"HOUSING SOUTH TEAM 3",#REF!,"&lt;&gt;NV")</f>
        <v>#REF!</v>
      </c>
      <c r="I14" s="10"/>
      <c r="J14" s="46" t="e" cm="1">
        <f t="array" ref="J14">SUM(COUNTIFS(tbl_cleaning[Housing Team],"HOUSING SOUTH TEAM 3",#REF!,{"1","2","3","4"}))</f>
        <v>#REF!</v>
      </c>
      <c r="K14" s="10"/>
      <c r="L14" s="16" t="e">
        <f>J14/H14</f>
        <v>#REF!</v>
      </c>
      <c r="M14" s="10"/>
      <c r="N14" s="16">
        <f>$F$1</f>
        <v>1</v>
      </c>
      <c r="O14" s="8"/>
      <c r="P14" s="46" t="e">
        <f>COUNTIFS(tbl_cleaning[Housing Team],"HOUSING SOUTH TEAM 3",#REF!,3)+COUNTIFS(tbl_cleaning[Housing Team],"HOUSING SOUTH TEAM 3",#REF!,4)</f>
        <v>#REF!</v>
      </c>
      <c r="Q14" s="10"/>
      <c r="R14" s="16">
        <f t="shared" ref="R14:R17" si="4">IFERROR(P14/J14,0)</f>
        <v>0</v>
      </c>
      <c r="S14" s="10"/>
      <c r="T14" s="40">
        <f t="shared" ref="T14:T17" si="5">$Q$1</f>
        <v>0.9</v>
      </c>
      <c r="U14" s="8"/>
    </row>
    <row r="15" spans="1:31" ht="15.75" x14ac:dyDescent="0.25">
      <c r="A15" s="505"/>
      <c r="B15" s="504" t="s">
        <v>11</v>
      </c>
      <c r="C15" s="504"/>
      <c r="D15" s="504"/>
      <c r="E15" s="504"/>
      <c r="F15" s="504"/>
      <c r="G15" s="15"/>
      <c r="H15" s="46" t="e">
        <f>COUNTIFS(tbl_cleaning[Housing Team],"HOUSING SOUTH TEAM 3",#REF!,"&lt;&gt;NV")</f>
        <v>#REF!</v>
      </c>
      <c r="I15" s="10"/>
      <c r="J15" s="46" t="e" cm="1">
        <f t="array" ref="J15">SUM(COUNTIFS(tbl_cleaning[Housing Team],"HOUSING SOUTH TEAM 3",#REF!,{"1","2","3","4"}))</f>
        <v>#REF!</v>
      </c>
      <c r="K15" s="10"/>
      <c r="L15" s="16" t="e">
        <f>J15/H15</f>
        <v>#REF!</v>
      </c>
      <c r="M15" s="10"/>
      <c r="N15" s="16">
        <f>$F$1</f>
        <v>1</v>
      </c>
      <c r="O15" s="8"/>
      <c r="P15" s="46" t="e">
        <f>COUNTIFS(tbl_cleaning[Housing Team],"HOUSING SOUTH TEAM 3",#REF!,3)+COUNTIFS(tbl_cleaning[Housing Team],"HOUSING SOUTH TEAM 3",#REF!,4)</f>
        <v>#REF!</v>
      </c>
      <c r="Q15" s="10"/>
      <c r="R15" s="16">
        <f t="shared" si="4"/>
        <v>0</v>
      </c>
      <c r="S15" s="10"/>
      <c r="T15" s="40">
        <f t="shared" si="5"/>
        <v>0.9</v>
      </c>
      <c r="U15" s="8"/>
    </row>
    <row r="16" spans="1:31" ht="15.75" x14ac:dyDescent="0.25">
      <c r="A16" s="505"/>
      <c r="B16" s="504" t="s">
        <v>12</v>
      </c>
      <c r="C16" s="504"/>
      <c r="D16" s="504"/>
      <c r="E16" s="504"/>
      <c r="F16" s="504"/>
      <c r="G16" s="15"/>
      <c r="H16" s="46" t="e">
        <f>COUNTIFS(#REF!,"HOUSING SOUTH TEAM 3",#REF!,"&lt;&gt;NV")</f>
        <v>#REF!</v>
      </c>
      <c r="I16" s="10"/>
      <c r="J16" s="46" t="e">
        <f t="array" ref="J16">SUM(COUNTIFS(#REF!,"HOUSING SOUTH TEAM 3",#REF!,{"1","2","3","4"}))</f>
        <v>#REF!</v>
      </c>
      <c r="K16" s="10"/>
      <c r="L16" s="16" t="e">
        <f>J16/H16</f>
        <v>#REF!</v>
      </c>
      <c r="M16" s="10"/>
      <c r="N16" s="16">
        <f>$F$1</f>
        <v>1</v>
      </c>
      <c r="O16" s="8"/>
      <c r="P16" s="46" t="e">
        <f>COUNTIFS(#REF!,"HOUSING SOUTH TEAM 3",#REF!,3)+COUNTIFS(#REF!,"HOUSING SOUTH TEAM 3",#REF!,4)</f>
        <v>#REF!</v>
      </c>
      <c r="Q16" s="10"/>
      <c r="R16" s="16">
        <f t="shared" si="4"/>
        <v>0</v>
      </c>
      <c r="S16" s="10"/>
      <c r="T16" s="40">
        <f t="shared" si="5"/>
        <v>0.9</v>
      </c>
      <c r="U16" s="8"/>
    </row>
    <row r="17" spans="1:21" x14ac:dyDescent="0.25">
      <c r="A17" s="506"/>
      <c r="B17" s="504" t="s">
        <v>13</v>
      </c>
      <c r="C17" s="504"/>
      <c r="D17" s="504"/>
      <c r="E17" s="504"/>
      <c r="F17" s="504"/>
      <c r="G17" s="8"/>
      <c r="H17" s="46" t="e">
        <f>H14+H15+H16</f>
        <v>#REF!</v>
      </c>
      <c r="I17" s="10"/>
      <c r="J17" s="46" t="e">
        <f>SUM(J14:J16)</f>
        <v>#REF!</v>
      </c>
      <c r="K17" s="10"/>
      <c r="L17" s="16" t="e">
        <f>J17/H17</f>
        <v>#REF!</v>
      </c>
      <c r="M17" s="10"/>
      <c r="N17" s="16">
        <f>$F$1</f>
        <v>1</v>
      </c>
      <c r="O17" s="8"/>
      <c r="P17" s="46" t="e">
        <f>SUM(P14:P16)</f>
        <v>#REF!</v>
      </c>
      <c r="Q17" s="10"/>
      <c r="R17" s="16">
        <f t="shared" si="4"/>
        <v>0</v>
      </c>
      <c r="S17" s="10"/>
      <c r="T17" s="40">
        <f t="shared" si="5"/>
        <v>0.9</v>
      </c>
      <c r="U17" s="8"/>
    </row>
    <row r="18" spans="1:21" x14ac:dyDescent="0.25">
      <c r="H18"/>
      <c r="J18"/>
      <c r="P18"/>
    </row>
    <row r="19" spans="1:21" ht="15.75" x14ac:dyDescent="0.25">
      <c r="A19" s="502" t="s">
        <v>1382</v>
      </c>
      <c r="B19" s="504" t="s">
        <v>10</v>
      </c>
      <c r="C19" s="504"/>
      <c r="D19" s="504"/>
      <c r="E19" s="504"/>
      <c r="F19" s="504"/>
      <c r="G19" s="15"/>
      <c r="H19" s="46" t="e">
        <f>COUNTIFS(tbl_cleaning[Housing Team],"HOUSING WEST TEAM 4",#REF!,"&lt;&gt;NV")</f>
        <v>#REF!</v>
      </c>
      <c r="I19" s="10"/>
      <c r="J19" s="46" t="e" cm="1">
        <f t="array" ref="J19">SUM(COUNTIFS(tbl_cleaning[Housing Team],"HOUSING WEST TEAM 4",#REF!,{"1","2","3","4"}))</f>
        <v>#REF!</v>
      </c>
      <c r="K19" s="10"/>
      <c r="L19" s="16" t="e">
        <f>J19/H19</f>
        <v>#REF!</v>
      </c>
      <c r="M19" s="10"/>
      <c r="N19" s="16">
        <f>$F$1</f>
        <v>1</v>
      </c>
      <c r="O19" s="8"/>
      <c r="P19" s="46" t="e">
        <f>COUNTIFS(tbl_cleaning[Housing Team],"HOUSING WEST TEAM 4",#REF!,3)+COUNTIFS(tbl_cleaning[Housing Team],"HOUSING WEST TEAM 4",#REF!,4)</f>
        <v>#REF!</v>
      </c>
      <c r="Q19" s="10"/>
      <c r="R19" s="16">
        <f t="shared" ref="R19:R22" si="6">IFERROR(P19/J19,0)</f>
        <v>0</v>
      </c>
      <c r="S19" s="10"/>
      <c r="T19" s="40">
        <f t="shared" ref="T19:T22" si="7">$Q$1</f>
        <v>0.9</v>
      </c>
      <c r="U19" s="8"/>
    </row>
    <row r="20" spans="1:21" ht="15.75" x14ac:dyDescent="0.25">
      <c r="A20" s="502"/>
      <c r="B20" s="504" t="s">
        <v>11</v>
      </c>
      <c r="C20" s="504"/>
      <c r="D20" s="504"/>
      <c r="E20" s="504"/>
      <c r="F20" s="504"/>
      <c r="G20" s="15"/>
      <c r="H20" s="46" t="e">
        <f>COUNTIFS(tbl_cleaning[Housing Team],"HOUSING WEST TEAM 4",#REF!,"&lt;&gt;NV")</f>
        <v>#REF!</v>
      </c>
      <c r="I20" s="10"/>
      <c r="J20" s="46" t="e" cm="1">
        <f t="array" ref="J20">SUM(COUNTIFS(tbl_cleaning[Housing Team],"HOUSING WEST TEAM 4",#REF!,{"1","2","3","4"}))</f>
        <v>#REF!</v>
      </c>
      <c r="K20" s="10"/>
      <c r="L20" s="16" t="e">
        <f>J20/H20</f>
        <v>#REF!</v>
      </c>
      <c r="M20" s="10"/>
      <c r="N20" s="16">
        <f>$F$1</f>
        <v>1</v>
      </c>
      <c r="O20" s="8"/>
      <c r="P20" s="46" t="e">
        <f>COUNTIFS(tbl_cleaning[Housing Team],"HOUSING WEST TEAM 4",#REF!,3)+COUNTIFS(tbl_cleaning[Housing Team],"HOUSING WEST TEAM 4",#REF!,4)</f>
        <v>#REF!</v>
      </c>
      <c r="Q20" s="10"/>
      <c r="R20" s="16">
        <f t="shared" si="6"/>
        <v>0</v>
      </c>
      <c r="S20" s="10"/>
      <c r="T20" s="40">
        <f t="shared" si="7"/>
        <v>0.9</v>
      </c>
      <c r="U20" s="8"/>
    </row>
    <row r="21" spans="1:21" ht="15.75" x14ac:dyDescent="0.25">
      <c r="A21" s="502"/>
      <c r="B21" s="504" t="s">
        <v>12</v>
      </c>
      <c r="C21" s="504"/>
      <c r="D21" s="504"/>
      <c r="E21" s="504"/>
      <c r="F21" s="504"/>
      <c r="G21" s="15"/>
      <c r="H21" s="46" t="e">
        <f>COUNTIFS(#REF!,"HOUSING WEST TEAM 4",#REF!,"&lt;&gt;NV")</f>
        <v>#REF!</v>
      </c>
      <c r="I21" s="10"/>
      <c r="J21" s="46" t="e">
        <f t="array" ref="J21">SUM(COUNTIFS(#REF!,"HOUSING WEST TEAM 4",#REF!,{"1","2","3","4"}))</f>
        <v>#REF!</v>
      </c>
      <c r="K21" s="10"/>
      <c r="L21" s="16" t="e">
        <f>J21/H21</f>
        <v>#REF!</v>
      </c>
      <c r="M21" s="10"/>
      <c r="N21" s="16">
        <f>$F$1</f>
        <v>1</v>
      </c>
      <c r="O21" s="8"/>
      <c r="P21" s="46" t="e">
        <f>COUNTIFS(#REF!,"HOUSING WEST TEAM 4",#REF!,3)+COUNTIFS(#REF!,"HOUSING WEST TEAM 4",#REF!,4)</f>
        <v>#REF!</v>
      </c>
      <c r="Q21" s="10"/>
      <c r="R21" s="16">
        <f t="shared" si="6"/>
        <v>0</v>
      </c>
      <c r="S21" s="10"/>
      <c r="T21" s="40">
        <f t="shared" si="7"/>
        <v>0.9</v>
      </c>
      <c r="U21" s="8"/>
    </row>
    <row r="22" spans="1:21" x14ac:dyDescent="0.25">
      <c r="A22" s="503"/>
      <c r="B22" s="504" t="s">
        <v>13</v>
      </c>
      <c r="C22" s="504"/>
      <c r="D22" s="504"/>
      <c r="E22" s="504"/>
      <c r="F22" s="504"/>
      <c r="G22" s="8"/>
      <c r="H22" s="46" t="e">
        <f>H19+H20+H21</f>
        <v>#REF!</v>
      </c>
      <c r="I22" s="10"/>
      <c r="J22" s="46" t="e">
        <f>SUM(J19:J21)</f>
        <v>#REF!</v>
      </c>
      <c r="K22" s="10"/>
      <c r="L22" s="16" t="e">
        <f>J22/H22</f>
        <v>#REF!</v>
      </c>
      <c r="M22" s="10"/>
      <c r="N22" s="16">
        <f>$F$1</f>
        <v>1</v>
      </c>
      <c r="O22" s="8"/>
      <c r="P22" s="46" t="e">
        <f>SUM(P19:P21)</f>
        <v>#REF!</v>
      </c>
      <c r="Q22" s="10"/>
      <c r="R22" s="16">
        <f t="shared" si="6"/>
        <v>0</v>
      </c>
      <c r="S22" s="10"/>
      <c r="T22" s="40">
        <f t="shared" si="7"/>
        <v>0.9</v>
      </c>
      <c r="U22" s="8"/>
    </row>
    <row r="23" spans="1:21" x14ac:dyDescent="0.25">
      <c r="H23"/>
      <c r="J23"/>
      <c r="P23"/>
    </row>
    <row r="24" spans="1:21" ht="15.75" x14ac:dyDescent="0.25">
      <c r="A24" s="502" t="s">
        <v>1388</v>
      </c>
      <c r="B24" s="504" t="s">
        <v>10</v>
      </c>
      <c r="C24" s="504"/>
      <c r="D24" s="504"/>
      <c r="E24" s="504"/>
      <c r="F24" s="504"/>
      <c r="G24" s="15"/>
      <c r="H24" s="46" t="e">
        <f>COUNTIFS(tbl_cleaning[Housing Team],"HOUSING WEST TEAM 5",#REF!,"&lt;&gt;NV")</f>
        <v>#REF!</v>
      </c>
      <c r="I24" s="10"/>
      <c r="J24" s="46" t="e" cm="1">
        <f t="array" ref="J24">SUM(COUNTIFS(tbl_cleaning[Housing Team],"HOUSING WEST TEAM 5",#REF!,{"1","2","3","4"}))</f>
        <v>#REF!</v>
      </c>
      <c r="K24" s="10"/>
      <c r="L24" s="16" t="e">
        <f>J24/H24</f>
        <v>#REF!</v>
      </c>
      <c r="M24" s="10"/>
      <c r="N24" s="16">
        <f>$F$1</f>
        <v>1</v>
      </c>
      <c r="O24" s="8"/>
      <c r="P24" s="46" t="e">
        <f>COUNTIFS(tbl_cleaning[Housing Team],"HOUSING WEST TEAM 5",#REF!,3)+COUNTIFS(tbl_cleaning[Housing Team],"HOUSING WEST TEAM 5",#REF!,4)</f>
        <v>#REF!</v>
      </c>
      <c r="Q24" s="10"/>
      <c r="R24" s="16">
        <f t="shared" ref="R24:R27" si="8">IFERROR(P24/J24,0)</f>
        <v>0</v>
      </c>
      <c r="S24" s="10"/>
      <c r="T24" s="40">
        <f t="shared" ref="T24:T27" si="9">$Q$1</f>
        <v>0.9</v>
      </c>
      <c r="U24" s="8"/>
    </row>
    <row r="25" spans="1:21" ht="15.75" x14ac:dyDescent="0.25">
      <c r="A25" s="502"/>
      <c r="B25" s="504" t="s">
        <v>11</v>
      </c>
      <c r="C25" s="504"/>
      <c r="D25" s="504"/>
      <c r="E25" s="504"/>
      <c r="F25" s="504"/>
      <c r="G25" s="15"/>
      <c r="H25" s="46" t="e">
        <f>COUNTIFS(tbl_cleaning[Housing Team],"HOUSING WEST TEAM 5",#REF!,"&lt;&gt;NV")</f>
        <v>#REF!</v>
      </c>
      <c r="I25" s="10"/>
      <c r="J25" s="46" t="e" cm="1">
        <f t="array" ref="J25">SUM(COUNTIFS(tbl_cleaning[Housing Team],"HOUSING WEST TEAM 5",#REF!,{"1","2","3","4"}))</f>
        <v>#REF!</v>
      </c>
      <c r="K25" s="10"/>
      <c r="L25" s="16" t="e">
        <f>J25/H25</f>
        <v>#REF!</v>
      </c>
      <c r="M25" s="10"/>
      <c r="N25" s="16">
        <f>$F$1</f>
        <v>1</v>
      </c>
      <c r="O25" s="8"/>
      <c r="P25" s="46" t="e">
        <f>COUNTIFS(tbl_cleaning[Housing Team],"HOUSING WEST TEAM 5",#REF!,3)+COUNTIFS(tbl_cleaning[Housing Team],"HOUSING WEST TEAM 5",#REF!,4)</f>
        <v>#REF!</v>
      </c>
      <c r="Q25" s="10"/>
      <c r="R25" s="16">
        <f t="shared" si="8"/>
        <v>0</v>
      </c>
      <c r="S25" s="10"/>
      <c r="T25" s="40">
        <f t="shared" si="9"/>
        <v>0.9</v>
      </c>
      <c r="U25" s="8"/>
    </row>
    <row r="26" spans="1:21" ht="15.75" x14ac:dyDescent="0.25">
      <c r="A26" s="502"/>
      <c r="B26" s="504" t="s">
        <v>12</v>
      </c>
      <c r="C26" s="504"/>
      <c r="D26" s="504"/>
      <c r="E26" s="504"/>
      <c r="F26" s="504"/>
      <c r="G26" s="15"/>
      <c r="H26" s="46" t="e">
        <f>COUNTIFS(#REF!,"HOUSING WEST TEAM 5",#REF!,"&lt;&gt;NV")</f>
        <v>#REF!</v>
      </c>
      <c r="I26" s="10"/>
      <c r="J26" s="46" t="e">
        <f t="array" ref="J26">SUM(COUNTIFS(#REF!,"HOUSING WEST TEAM 5",#REF!,{"1","2","3","4"}))</f>
        <v>#REF!</v>
      </c>
      <c r="K26" s="10"/>
      <c r="L26" s="16" t="e">
        <f>J26/H26</f>
        <v>#REF!</v>
      </c>
      <c r="M26" s="10"/>
      <c r="N26" s="16">
        <f>$F$1</f>
        <v>1</v>
      </c>
      <c r="O26" s="8"/>
      <c r="P26" s="46" t="e">
        <f>COUNTIFS(#REF!,"HOUSING WEST TEAM 5",#REF!,3)+COUNTIFS(#REF!,"HOUSING WEST TEAM 5",#REF!,4)</f>
        <v>#REF!</v>
      </c>
      <c r="Q26" s="10"/>
      <c r="R26" s="16">
        <f t="shared" si="8"/>
        <v>0</v>
      </c>
      <c r="S26" s="10"/>
      <c r="T26" s="40">
        <f t="shared" si="9"/>
        <v>0.9</v>
      </c>
      <c r="U26" s="8"/>
    </row>
    <row r="27" spans="1:21" x14ac:dyDescent="0.25">
      <c r="A27" s="503"/>
      <c r="B27" s="504" t="s">
        <v>13</v>
      </c>
      <c r="C27" s="504"/>
      <c r="D27" s="504"/>
      <c r="E27" s="504"/>
      <c r="F27" s="504"/>
      <c r="G27" s="8"/>
      <c r="H27" s="46" t="e">
        <f>H24+H25+H26</f>
        <v>#REF!</v>
      </c>
      <c r="I27" s="10"/>
      <c r="J27" s="46" t="e">
        <f>SUM(J24:J26)</f>
        <v>#REF!</v>
      </c>
      <c r="K27" s="10"/>
      <c r="L27" s="16" t="e">
        <f>J27/H27</f>
        <v>#REF!</v>
      </c>
      <c r="M27" s="10"/>
      <c r="N27" s="16">
        <f>$F$1</f>
        <v>1</v>
      </c>
      <c r="O27" s="8"/>
      <c r="P27" s="46" t="e">
        <f>SUM(P24:P26)</f>
        <v>#REF!</v>
      </c>
      <c r="Q27" s="10"/>
      <c r="R27" s="16">
        <f t="shared" si="8"/>
        <v>0</v>
      </c>
      <c r="S27" s="10"/>
      <c r="T27" s="40">
        <f t="shared" si="9"/>
        <v>0.9</v>
      </c>
      <c r="U27" s="8"/>
    </row>
    <row r="28" spans="1:21" x14ac:dyDescent="0.25">
      <c r="H28"/>
      <c r="J28"/>
      <c r="P28"/>
    </row>
    <row r="29" spans="1:21" ht="15.75" x14ac:dyDescent="0.25">
      <c r="A29" s="502" t="s">
        <v>1387</v>
      </c>
      <c r="B29" s="504" t="s">
        <v>10</v>
      </c>
      <c r="C29" s="504"/>
      <c r="D29" s="504"/>
      <c r="E29" s="504"/>
      <c r="F29" s="504"/>
      <c r="G29" s="15"/>
      <c r="H29" s="46" t="e">
        <f>COUNTIFS(tbl_cleaning[Housing Team],"HOUSING WEST TEAM 6",#REF!,"&lt;&gt;NV")</f>
        <v>#REF!</v>
      </c>
      <c r="I29" s="10"/>
      <c r="J29" s="46" t="e" cm="1">
        <f t="array" ref="J29">SUM(COUNTIFS(tbl_cleaning[Housing Team],"HOUSING WEST TEAM 6",#REF!,{"1","2","3","4"}))</f>
        <v>#REF!</v>
      </c>
      <c r="K29" s="10"/>
      <c r="L29" s="16" t="e">
        <f>J29/H29</f>
        <v>#REF!</v>
      </c>
      <c r="M29" s="10"/>
      <c r="N29" s="16">
        <f>$F$1</f>
        <v>1</v>
      </c>
      <c r="O29" s="8"/>
      <c r="P29" s="46" t="e">
        <f>COUNTIFS(tbl_cleaning[Housing Team],"HOUSING WEST TEAM 6",#REF!,3)+COUNTIFS(tbl_cleaning[Housing Team],"HOUSING WEST TEAM 6",#REF!,4)</f>
        <v>#REF!</v>
      </c>
      <c r="Q29" s="10"/>
      <c r="R29" s="16">
        <f t="shared" ref="R29:R32" si="10">IFERROR(P29/J29,0)</f>
        <v>0</v>
      </c>
      <c r="S29" s="10"/>
      <c r="T29" s="40">
        <f t="shared" ref="T29:T32" si="11">$Q$1</f>
        <v>0.9</v>
      </c>
      <c r="U29" s="8"/>
    </row>
    <row r="30" spans="1:21" ht="15.75" x14ac:dyDescent="0.25">
      <c r="A30" s="502"/>
      <c r="B30" s="504" t="s">
        <v>11</v>
      </c>
      <c r="C30" s="504"/>
      <c r="D30" s="504"/>
      <c r="E30" s="504"/>
      <c r="F30" s="504"/>
      <c r="G30" s="15"/>
      <c r="H30" s="46" t="e">
        <f>COUNTIFS(tbl_cleaning[Housing Team],"HOUSING WEST TEAM 6",#REF!,"&lt;&gt;NV")</f>
        <v>#REF!</v>
      </c>
      <c r="I30" s="10"/>
      <c r="J30" s="46" t="e" cm="1">
        <f t="array" ref="J30">SUM(COUNTIFS(tbl_cleaning[Housing Team],"HOUSING WEST TEAM 6",#REF!,{"1","2","3","4"}))</f>
        <v>#REF!</v>
      </c>
      <c r="K30" s="10"/>
      <c r="L30" s="16" t="e">
        <f>J30/H30</f>
        <v>#REF!</v>
      </c>
      <c r="M30" s="10"/>
      <c r="N30" s="16">
        <f>$F$1</f>
        <v>1</v>
      </c>
      <c r="O30" s="8"/>
      <c r="P30" s="46" t="e">
        <f>COUNTIFS(tbl_cleaning[Housing Team],"HOUSING WEST TEAM 6",#REF!,3)+COUNTIFS(tbl_cleaning[Housing Team],"HOUSING WEST TEAM 6",#REF!,4)</f>
        <v>#REF!</v>
      </c>
      <c r="Q30" s="10"/>
      <c r="R30" s="16">
        <f t="shared" si="10"/>
        <v>0</v>
      </c>
      <c r="S30" s="10"/>
      <c r="T30" s="40">
        <f t="shared" si="11"/>
        <v>0.9</v>
      </c>
      <c r="U30" s="8"/>
    </row>
    <row r="31" spans="1:21" ht="15.75" x14ac:dyDescent="0.25">
      <c r="A31" s="502"/>
      <c r="B31" s="504" t="s">
        <v>12</v>
      </c>
      <c r="C31" s="504"/>
      <c r="D31" s="504"/>
      <c r="E31" s="504"/>
      <c r="F31" s="504"/>
      <c r="G31" s="15"/>
      <c r="H31" s="46" t="e">
        <f>COUNTIFS(#REF!,"HOUSING WEST TEAM 6",#REF!,"&lt;&gt;NV")</f>
        <v>#REF!</v>
      </c>
      <c r="I31" s="10"/>
      <c r="J31" s="46" t="e">
        <f t="array" ref="J31">SUM(COUNTIFS(#REF!,"HOUSING WEST TEAM 6",#REF!,{"1","2","3","4"}))</f>
        <v>#REF!</v>
      </c>
      <c r="K31" s="10"/>
      <c r="L31" s="16" t="e">
        <f>J31/H31</f>
        <v>#REF!</v>
      </c>
      <c r="M31" s="10"/>
      <c r="N31" s="16">
        <f>$F$1</f>
        <v>1</v>
      </c>
      <c r="O31" s="8"/>
      <c r="P31" s="46" t="e">
        <f>COUNTIFS(#REF!,"HOUSING WEST TEAM 6",#REF!,3)+COUNTIFS(#REF!,"HOUSING WEST TEAM 6",#REF!,4)</f>
        <v>#REF!</v>
      </c>
      <c r="Q31" s="10"/>
      <c r="R31" s="16">
        <f t="shared" si="10"/>
        <v>0</v>
      </c>
      <c r="S31" s="10"/>
      <c r="T31" s="40">
        <f t="shared" si="11"/>
        <v>0.9</v>
      </c>
      <c r="U31" s="8"/>
    </row>
    <row r="32" spans="1:21" x14ac:dyDescent="0.25">
      <c r="A32" s="503"/>
      <c r="B32" s="504" t="s">
        <v>13</v>
      </c>
      <c r="C32" s="504"/>
      <c r="D32" s="504"/>
      <c r="E32" s="504"/>
      <c r="F32" s="504"/>
      <c r="G32" s="8"/>
      <c r="H32" s="46" t="e">
        <f>H29+H30+H31</f>
        <v>#REF!</v>
      </c>
      <c r="I32" s="10"/>
      <c r="J32" s="46" t="e">
        <f>SUM(J29:J31)</f>
        <v>#REF!</v>
      </c>
      <c r="K32" s="10"/>
      <c r="L32" s="16" t="e">
        <f>J32/H32</f>
        <v>#REF!</v>
      </c>
      <c r="M32" s="10"/>
      <c r="N32" s="16">
        <f>$F$1</f>
        <v>1</v>
      </c>
      <c r="O32" s="8"/>
      <c r="P32" s="46" t="e">
        <f>SUM(P29:P31)</f>
        <v>#REF!</v>
      </c>
      <c r="Q32" s="10"/>
      <c r="R32" s="16">
        <f t="shared" si="10"/>
        <v>0</v>
      </c>
      <c r="S32" s="10"/>
      <c r="T32" s="40">
        <f t="shared" si="11"/>
        <v>0.9</v>
      </c>
      <c r="U32" s="8"/>
    </row>
    <row r="33" spans="1:21" x14ac:dyDescent="0.25">
      <c r="H33"/>
      <c r="J33"/>
      <c r="P33"/>
    </row>
    <row r="34" spans="1:21" ht="15.75" x14ac:dyDescent="0.25">
      <c r="A34" s="502" t="s">
        <v>1367</v>
      </c>
      <c r="B34" s="504" t="s">
        <v>10</v>
      </c>
      <c r="C34" s="504"/>
      <c r="D34" s="504"/>
      <c r="E34" s="504"/>
      <c r="F34" s="504"/>
      <c r="G34" s="15"/>
      <c r="H34" s="46" t="e">
        <f>COUNTIFS(tbl_cleaning[Housing Team],"HOUSING WEST TEAM 7",#REF!,"&lt;&gt;NV")</f>
        <v>#REF!</v>
      </c>
      <c r="I34" s="10"/>
      <c r="J34" s="46" t="e" cm="1">
        <f t="array" ref="J34">SUM(COUNTIFS(tbl_cleaning[Housing Team],"HOUSING WEST TEAM 7",#REF!,{"1","2","3","4"}))</f>
        <v>#REF!</v>
      </c>
      <c r="K34" s="10"/>
      <c r="L34" s="16" t="e">
        <f>J34/H34</f>
        <v>#REF!</v>
      </c>
      <c r="M34" s="10"/>
      <c r="N34" s="16">
        <f>$F$1</f>
        <v>1</v>
      </c>
      <c r="O34" s="8"/>
      <c r="P34" s="46" t="e">
        <f>COUNTIFS(tbl_cleaning[Housing Team],"HOUSING WEST TEAM 7",#REF!,3)+COUNTIFS(tbl_cleaning[Housing Team],"HOUSING WEST TEAM 7",#REF!,4)</f>
        <v>#REF!</v>
      </c>
      <c r="Q34" s="10"/>
      <c r="R34" s="16">
        <f t="shared" ref="R34:R37" si="12">IFERROR(P34/J34,0)</f>
        <v>0</v>
      </c>
      <c r="S34" s="10"/>
      <c r="T34" s="40">
        <f t="shared" ref="T34:T37" si="13">$Q$1</f>
        <v>0.9</v>
      </c>
      <c r="U34" s="8"/>
    </row>
    <row r="35" spans="1:21" ht="15.75" x14ac:dyDescent="0.25">
      <c r="A35" s="502"/>
      <c r="B35" s="504" t="s">
        <v>11</v>
      </c>
      <c r="C35" s="504"/>
      <c r="D35" s="504"/>
      <c r="E35" s="504"/>
      <c r="F35" s="504"/>
      <c r="G35" s="15"/>
      <c r="H35" s="46" t="e">
        <f>COUNTIFS(tbl_cleaning[Housing Team],"HOUSING WEST TEAM 7",#REF!,"&lt;&gt;NV")</f>
        <v>#REF!</v>
      </c>
      <c r="I35" s="10"/>
      <c r="J35" s="46" t="e" cm="1">
        <f t="array" ref="J35">SUM(COUNTIFS(tbl_cleaning[Housing Team],"HOUSING WEST TEAM 7",#REF!,{"1","2","3","4"}))</f>
        <v>#REF!</v>
      </c>
      <c r="K35" s="10"/>
      <c r="L35" s="16" t="e">
        <f>J35/H35</f>
        <v>#REF!</v>
      </c>
      <c r="M35" s="10"/>
      <c r="N35" s="16">
        <f t="shared" ref="N35:N37" si="14">$F$1</f>
        <v>1</v>
      </c>
      <c r="O35" s="8"/>
      <c r="P35" s="46" t="e">
        <f>COUNTIFS(tbl_cleaning[Housing Team],"HOUSING WEST TEAM 7",#REF!,3)+COUNTIFS(tbl_cleaning[Housing Team],"HOUSING WEST TEAM 7",#REF!,4)</f>
        <v>#REF!</v>
      </c>
      <c r="Q35" s="10"/>
      <c r="R35" s="16">
        <f t="shared" si="12"/>
        <v>0</v>
      </c>
      <c r="S35" s="10"/>
      <c r="T35" s="40">
        <f t="shared" si="13"/>
        <v>0.9</v>
      </c>
      <c r="U35" s="8"/>
    </row>
    <row r="36" spans="1:21" ht="15.75" x14ac:dyDescent="0.25">
      <c r="A36" s="502"/>
      <c r="B36" s="504" t="s">
        <v>12</v>
      </c>
      <c r="C36" s="504"/>
      <c r="D36" s="504"/>
      <c r="E36" s="504"/>
      <c r="F36" s="504"/>
      <c r="G36" s="15"/>
      <c r="H36" s="46" t="e">
        <f>COUNTIFS(#REF!,"HOUSING WEST TEAM 7",#REF!,"&lt;&gt;NV")</f>
        <v>#REF!</v>
      </c>
      <c r="I36" s="10"/>
      <c r="J36" s="46" t="e">
        <f t="array" ref="J36">SUM(COUNTIFS(#REF!,"HOUSING WEST TEAM 7",#REF!,{"1","2","3","4"}))</f>
        <v>#REF!</v>
      </c>
      <c r="K36" s="10"/>
      <c r="L36" s="16" t="e">
        <f>J36/H36</f>
        <v>#REF!</v>
      </c>
      <c r="M36" s="10"/>
      <c r="N36" s="16">
        <f t="shared" si="14"/>
        <v>1</v>
      </c>
      <c r="O36" s="8"/>
      <c r="P36" s="46" t="e">
        <f>COUNTIFS(#REF!,"HOUSING WEST TEAM 7",#REF!,3)+COUNTIFS(#REF!,"HOUSING WEST TEAM 7",#REF!,4)</f>
        <v>#REF!</v>
      </c>
      <c r="Q36" s="10"/>
      <c r="R36" s="16">
        <f t="shared" si="12"/>
        <v>0</v>
      </c>
      <c r="S36" s="10"/>
      <c r="T36" s="40">
        <f t="shared" si="13"/>
        <v>0.9</v>
      </c>
      <c r="U36" s="8"/>
    </row>
    <row r="37" spans="1:21" x14ac:dyDescent="0.25">
      <c r="A37" s="503"/>
      <c r="B37" s="504" t="s">
        <v>13</v>
      </c>
      <c r="C37" s="504"/>
      <c r="D37" s="504"/>
      <c r="E37" s="504"/>
      <c r="F37" s="504"/>
      <c r="G37" s="8"/>
      <c r="H37" s="46" t="e">
        <f>H34+H35+H36</f>
        <v>#REF!</v>
      </c>
      <c r="I37" s="10"/>
      <c r="J37" s="46" t="e">
        <f>SUM(J34:J36)</f>
        <v>#REF!</v>
      </c>
      <c r="K37" s="10"/>
      <c r="L37" s="16" t="e">
        <f>J37/H37</f>
        <v>#REF!</v>
      </c>
      <c r="M37" s="10"/>
      <c r="N37" s="16">
        <f t="shared" si="14"/>
        <v>1</v>
      </c>
      <c r="O37" s="8"/>
      <c r="P37" s="46" t="e">
        <f>SUM(P34:P36)</f>
        <v>#REF!</v>
      </c>
      <c r="Q37" s="10"/>
      <c r="R37" s="16">
        <f t="shared" si="12"/>
        <v>0</v>
      </c>
      <c r="S37" s="10"/>
      <c r="T37" s="40">
        <f t="shared" si="13"/>
        <v>0.9</v>
      </c>
      <c r="U37" s="8"/>
    </row>
    <row r="38" spans="1:21" x14ac:dyDescent="0.25">
      <c r="H38"/>
      <c r="J38"/>
      <c r="P38"/>
    </row>
    <row r="39" spans="1:21" ht="15.75" x14ac:dyDescent="0.25">
      <c r="A39" s="502" t="s">
        <v>1370</v>
      </c>
      <c r="B39" s="507" t="s">
        <v>10</v>
      </c>
      <c r="C39" s="508"/>
      <c r="D39" s="508"/>
      <c r="E39" s="508"/>
      <c r="F39" s="509"/>
      <c r="G39" s="15"/>
      <c r="H39" s="46" t="e">
        <f>COUNTIFS(tbl_cleaning[Housing Team],"HOUSING WEST TEAM 8",#REF!,"&lt;&gt;NV")</f>
        <v>#REF!</v>
      </c>
      <c r="I39" s="10"/>
      <c r="J39" s="46" t="e" cm="1">
        <f t="array" ref="J39">SUM(COUNTIFS(tbl_cleaning[Housing Team],"HOUSING WEST TEAM 8",#REF!,{"1","2","3","4"}))</f>
        <v>#REF!</v>
      </c>
      <c r="K39" s="10"/>
      <c r="L39" s="16" t="e">
        <f>J39/H39</f>
        <v>#REF!</v>
      </c>
      <c r="M39" s="10"/>
      <c r="N39" s="16">
        <f t="shared" ref="N39:N42" si="15">$F$1</f>
        <v>1</v>
      </c>
      <c r="O39" s="8"/>
      <c r="P39" s="46" t="e">
        <f>COUNTIFS(tbl_cleaning[Housing Team],"HOUSING WEST TEAM 8",#REF!,3)+COUNTIFS(tbl_cleaning[Housing Team],"HOUSING WEST TEAM 8",#REF!,4)</f>
        <v>#REF!</v>
      </c>
      <c r="Q39" s="10"/>
      <c r="R39" s="16">
        <f t="shared" ref="R39:R42" si="16">IFERROR(P39/J39,0)</f>
        <v>0</v>
      </c>
      <c r="S39" s="10"/>
      <c r="T39" s="40">
        <f t="shared" ref="T39:T42" si="17">$Q$1</f>
        <v>0.9</v>
      </c>
      <c r="U39" s="8"/>
    </row>
    <row r="40" spans="1:21" ht="15.75" x14ac:dyDescent="0.25">
      <c r="A40" s="502"/>
      <c r="B40" s="507" t="s">
        <v>11</v>
      </c>
      <c r="C40" s="508"/>
      <c r="D40" s="508"/>
      <c r="E40" s="508"/>
      <c r="F40" s="509"/>
      <c r="G40" s="15"/>
      <c r="H40" s="46" t="e">
        <f>COUNTIFS(tbl_cleaning[Housing Team],"HOUSING WEST TEAM 8",#REF!,"&lt;&gt;NV")</f>
        <v>#REF!</v>
      </c>
      <c r="I40" s="10"/>
      <c r="J40" s="46" t="e" cm="1">
        <f t="array" ref="J40">SUM(COUNTIFS(tbl_cleaning[Housing Team],"HOUSING WEST TEAM 8",#REF!,{"1","2","3","4"}))</f>
        <v>#REF!</v>
      </c>
      <c r="K40" s="10"/>
      <c r="L40" s="16" t="e">
        <f>J40/H40</f>
        <v>#REF!</v>
      </c>
      <c r="M40" s="10"/>
      <c r="N40" s="16">
        <f t="shared" si="15"/>
        <v>1</v>
      </c>
      <c r="O40" s="8"/>
      <c r="P40" s="46" t="e">
        <f>COUNTIFS(tbl_cleaning[Housing Team],"HOUSING WEST TEAM 8",#REF!,3)+COUNTIFS(tbl_cleaning[Housing Team],"HOUSING WEST TEAM 8",#REF!,4)</f>
        <v>#REF!</v>
      </c>
      <c r="Q40" s="10"/>
      <c r="R40" s="16">
        <f t="shared" si="16"/>
        <v>0</v>
      </c>
      <c r="S40" s="10"/>
      <c r="T40" s="40">
        <f t="shared" si="17"/>
        <v>0.9</v>
      </c>
      <c r="U40" s="8"/>
    </row>
    <row r="41" spans="1:21" ht="15.75" x14ac:dyDescent="0.25">
      <c r="A41" s="502"/>
      <c r="B41" s="507" t="s">
        <v>12</v>
      </c>
      <c r="C41" s="508"/>
      <c r="D41" s="508"/>
      <c r="E41" s="508"/>
      <c r="F41" s="509"/>
      <c r="G41" s="15"/>
      <c r="H41" s="46" t="e">
        <f>(COUNTIFS(#REF!,"HOUSING WEST TEAM 8",#REF!,"&lt;&gt;NV"))</f>
        <v>#REF!</v>
      </c>
      <c r="I41" s="10"/>
      <c r="J41" s="46" t="e">
        <f t="array" ref="J41">SUM(COUNTIFS(#REF!,"HOUSING WEST TEAM 8",#REF!,{"1","2","3","4"}))</f>
        <v>#REF!</v>
      </c>
      <c r="K41" s="10"/>
      <c r="L41" s="16" t="e">
        <f>J41/H41</f>
        <v>#REF!</v>
      </c>
      <c r="M41" s="10"/>
      <c r="N41" s="16">
        <f t="shared" si="15"/>
        <v>1</v>
      </c>
      <c r="O41" s="8"/>
      <c r="P41" s="46" t="e">
        <f>COUNTIFS(#REF!,"HOUSING WEST TEAM 8",#REF!,3)+COUNTIFS(#REF!,"HOUSING WEST TEAM 8",#REF!,4)</f>
        <v>#REF!</v>
      </c>
      <c r="Q41" s="10"/>
      <c r="R41" s="16">
        <f t="shared" si="16"/>
        <v>0</v>
      </c>
      <c r="S41" s="10"/>
      <c r="T41" s="40">
        <f t="shared" si="17"/>
        <v>0.9</v>
      </c>
      <c r="U41" s="8"/>
    </row>
    <row r="42" spans="1:21" x14ac:dyDescent="0.25">
      <c r="A42" s="502"/>
      <c r="B42" s="507" t="s">
        <v>13</v>
      </c>
      <c r="C42" s="508"/>
      <c r="D42" s="508"/>
      <c r="E42" s="508"/>
      <c r="F42" s="509"/>
      <c r="G42" s="8"/>
      <c r="H42" s="46" t="e">
        <f>H39+H40+H41</f>
        <v>#REF!</v>
      </c>
      <c r="I42" s="10"/>
      <c r="J42" s="46" t="e">
        <f>SUM(J39:J41)</f>
        <v>#REF!</v>
      </c>
      <c r="K42" s="10"/>
      <c r="L42" s="16" t="e">
        <f>J42/H42</f>
        <v>#REF!</v>
      </c>
      <c r="M42" s="10"/>
      <c r="N42" s="16">
        <f t="shared" si="15"/>
        <v>1</v>
      </c>
      <c r="O42" s="8"/>
      <c r="P42" s="46" t="e">
        <f>SUM(P39:P41)</f>
        <v>#REF!</v>
      </c>
      <c r="Q42" s="10"/>
      <c r="R42" s="16">
        <f t="shared" si="16"/>
        <v>0</v>
      </c>
      <c r="S42" s="10"/>
      <c r="T42" s="40">
        <f t="shared" si="17"/>
        <v>0.9</v>
      </c>
      <c r="U42" s="8"/>
    </row>
    <row r="43" spans="1:21" x14ac:dyDescent="0.25">
      <c r="H43"/>
      <c r="J43"/>
      <c r="P43"/>
    </row>
    <row r="44" spans="1:21" ht="15.75" x14ac:dyDescent="0.25">
      <c r="A44" s="505" t="s">
        <v>1363</v>
      </c>
      <c r="B44" s="504" t="s">
        <v>10</v>
      </c>
      <c r="C44" s="504"/>
      <c r="D44" s="504"/>
      <c r="E44" s="504"/>
      <c r="F44" s="504"/>
      <c r="G44" s="15"/>
      <c r="H44" s="46" t="e">
        <f>COUNTIFS(tbl_cleaning[Housing Team],"HOUSING SOUTH TEAM 5",#REF!,"&lt;&gt;NV")</f>
        <v>#REF!</v>
      </c>
      <c r="I44" s="10"/>
      <c r="J44" s="46" t="e" cm="1">
        <f t="array" ref="J44">SUM(COUNTIFS(tbl_cleaning[Housing Team],"HOUSING SOUTH TEAM 5",#REF!,{"1","2","3","4"}))</f>
        <v>#REF!</v>
      </c>
      <c r="K44" s="10"/>
      <c r="L44" s="16" t="e">
        <f>J44/H44</f>
        <v>#REF!</v>
      </c>
      <c r="M44" s="10"/>
      <c r="N44" s="16">
        <f>$F$1</f>
        <v>1</v>
      </c>
      <c r="O44" s="8"/>
      <c r="P44" s="46" t="e">
        <f>COUNTIFS(tbl_cleaning[Housing Team],"HOUSING SOUTH TEAM 5",#REF!,3)+COUNTIFS(tbl_cleaning[Housing Team],"HOUSING SOUTH TEAM 5",#REF!,4)</f>
        <v>#REF!</v>
      </c>
      <c r="Q44" s="10"/>
      <c r="R44" s="16">
        <f t="shared" ref="R44:R47" si="18">IFERROR(P44/J44,0)</f>
        <v>0</v>
      </c>
      <c r="S44" s="10"/>
      <c r="T44" s="40">
        <f t="shared" ref="T44:T47" si="19">$Q$1</f>
        <v>0.9</v>
      </c>
      <c r="U44" s="8"/>
    </row>
    <row r="45" spans="1:21" ht="15.75" x14ac:dyDescent="0.25">
      <c r="A45" s="505"/>
      <c r="B45" s="504" t="s">
        <v>11</v>
      </c>
      <c r="C45" s="504"/>
      <c r="D45" s="504"/>
      <c r="E45" s="504"/>
      <c r="F45" s="504"/>
      <c r="G45" s="15"/>
      <c r="H45" s="46" t="e">
        <f>COUNTIFS(tbl_cleaning[Housing Team],"HOUSING SOUTH TEAM 5",#REF!,"&lt;&gt;NV")</f>
        <v>#REF!</v>
      </c>
      <c r="I45" s="10"/>
      <c r="J45" s="46" t="e" cm="1">
        <f t="array" ref="J45">SUM(COUNTIFS(tbl_cleaning[Housing Team],"HOUSING SOUTH TEAM 5",#REF!,{"1","2","3","4"}))</f>
        <v>#REF!</v>
      </c>
      <c r="K45" s="10"/>
      <c r="L45" s="16" t="e">
        <f>J45/H45</f>
        <v>#REF!</v>
      </c>
      <c r="M45" s="10"/>
      <c r="N45" s="16">
        <f>$F$1</f>
        <v>1</v>
      </c>
      <c r="O45" s="8"/>
      <c r="P45" s="46" t="e">
        <f>COUNTIFS(tbl_cleaning[Housing Team],"HOUSING SOUTH TEAM 5",#REF!,3)+COUNTIFS(tbl_cleaning[Housing Team],"HOUSING SOUTH TEAM 5",#REF!,4)</f>
        <v>#REF!</v>
      </c>
      <c r="Q45" s="10"/>
      <c r="R45" s="16">
        <f t="shared" si="18"/>
        <v>0</v>
      </c>
      <c r="S45" s="10"/>
      <c r="T45" s="40">
        <f t="shared" si="19"/>
        <v>0.9</v>
      </c>
      <c r="U45" s="8"/>
    </row>
    <row r="46" spans="1:21" ht="15.75" x14ac:dyDescent="0.25">
      <c r="A46" s="505"/>
      <c r="B46" s="504" t="s">
        <v>12</v>
      </c>
      <c r="C46" s="504"/>
      <c r="D46" s="504"/>
      <c r="E46" s="504"/>
      <c r="F46" s="504"/>
      <c r="G46" s="15"/>
      <c r="H46" s="46" t="e">
        <f>COUNTIFS(#REF!,"HOUSING SOUTH TEAM 5",#REF!,"&lt;&gt;NV")</f>
        <v>#REF!</v>
      </c>
      <c r="I46" s="10"/>
      <c r="J46" s="46" t="e">
        <f t="array" ref="J46">SUM(COUNTIFS(#REF!,"HOUSING SOUTH TEAM 5",#REF!,{"1","2","3","4"}))</f>
        <v>#REF!</v>
      </c>
      <c r="K46" s="10"/>
      <c r="L46" s="16" t="e">
        <f>J46/H46</f>
        <v>#REF!</v>
      </c>
      <c r="M46" s="10"/>
      <c r="N46" s="16">
        <f>$F$1</f>
        <v>1</v>
      </c>
      <c r="O46" s="8"/>
      <c r="P46" s="46" t="e">
        <f>COUNTIFS(#REF!,"HOUSING SOUTH TEAM 5",#REF!,3)+COUNTIFS(#REF!,"HOUSING SOUTH TEAM 5",#REF!,4)</f>
        <v>#REF!</v>
      </c>
      <c r="Q46" s="10"/>
      <c r="R46" s="16">
        <f t="shared" si="18"/>
        <v>0</v>
      </c>
      <c r="S46" s="10"/>
      <c r="T46" s="40">
        <f t="shared" si="19"/>
        <v>0.9</v>
      </c>
      <c r="U46" s="8"/>
    </row>
    <row r="47" spans="1:21" x14ac:dyDescent="0.25">
      <c r="A47" s="506"/>
      <c r="B47" s="504" t="s">
        <v>13</v>
      </c>
      <c r="C47" s="504"/>
      <c r="D47" s="504"/>
      <c r="E47" s="504"/>
      <c r="F47" s="504"/>
      <c r="G47" s="8"/>
      <c r="H47" s="46" t="e">
        <f>H44+H45+H46</f>
        <v>#REF!</v>
      </c>
      <c r="I47" s="10"/>
      <c r="J47" s="46" t="e">
        <f>SUM(J44:J46)</f>
        <v>#REF!</v>
      </c>
      <c r="K47" s="10"/>
      <c r="L47" s="16" t="e">
        <f>J47/H47</f>
        <v>#REF!</v>
      </c>
      <c r="M47" s="10"/>
      <c r="N47" s="16">
        <f>$F$1</f>
        <v>1</v>
      </c>
      <c r="O47" s="8"/>
      <c r="P47" s="46" t="e">
        <f>SUM(P44:P46)</f>
        <v>#REF!</v>
      </c>
      <c r="Q47" s="10"/>
      <c r="R47" s="16">
        <f t="shared" si="18"/>
        <v>0</v>
      </c>
      <c r="S47" s="10"/>
      <c r="T47" s="40">
        <f t="shared" si="19"/>
        <v>0.9</v>
      </c>
      <c r="U47" s="8"/>
    </row>
    <row r="48" spans="1:21" x14ac:dyDescent="0.25">
      <c r="H48"/>
      <c r="J48"/>
      <c r="P48"/>
    </row>
    <row r="49" spans="1:21" ht="15.75" customHeight="1" x14ac:dyDescent="0.25">
      <c r="A49" s="502" t="s">
        <v>1377</v>
      </c>
      <c r="B49" s="504" t="s">
        <v>10</v>
      </c>
      <c r="C49" s="504"/>
      <c r="D49" s="504"/>
      <c r="E49" s="504"/>
      <c r="F49" s="504"/>
      <c r="G49" s="15"/>
      <c r="H49" s="46" t="e">
        <f>COUNTIFS(tbl_cleaning[Housing Team],"HOUSING WEST TEAM 3",#REF!,"&lt;&gt;NV")</f>
        <v>#REF!</v>
      </c>
      <c r="I49" s="10"/>
      <c r="J49" s="46" t="e" cm="1">
        <f t="array" ref="J49">SUM(COUNTIFS(tbl_cleaning[Housing Team],"HOUSING WEST TEAM 3",#REF!,{"1","2","3","4"}))</f>
        <v>#REF!</v>
      </c>
      <c r="K49" s="10"/>
      <c r="L49" s="16" t="e">
        <f>J49/H49</f>
        <v>#REF!</v>
      </c>
      <c r="M49" s="10"/>
      <c r="N49" s="16">
        <f>$F$1</f>
        <v>1</v>
      </c>
      <c r="O49" s="8"/>
      <c r="P49" s="46" t="e">
        <f>COUNTIFS(tbl_cleaning[Housing Team],"HOUSING WEST TEAM 3",#REF!,3)+COUNTIFS(tbl_cleaning[Housing Team],"HOUSING WEST TEAM 3",#REF!,4)</f>
        <v>#REF!</v>
      </c>
      <c r="Q49" s="10"/>
      <c r="R49" s="16">
        <f t="shared" ref="R49:R52" si="20">IFERROR(P49/J49,0)</f>
        <v>0</v>
      </c>
      <c r="S49" s="10"/>
      <c r="T49" s="40">
        <f t="shared" ref="T49:T52" si="21">$Q$1</f>
        <v>0.9</v>
      </c>
      <c r="U49" s="8"/>
    </row>
    <row r="50" spans="1:21" ht="15.75" x14ac:dyDescent="0.25">
      <c r="A50" s="502"/>
      <c r="B50" s="504" t="s">
        <v>11</v>
      </c>
      <c r="C50" s="504"/>
      <c r="D50" s="504"/>
      <c r="E50" s="504"/>
      <c r="F50" s="504"/>
      <c r="G50" s="15"/>
      <c r="H50" s="46" t="e">
        <f>COUNTIFS(tbl_cleaning[Housing Team],"HOUSING WEST TEAM 3",#REF!,"&lt;&gt;NV")</f>
        <v>#REF!</v>
      </c>
      <c r="I50" s="10"/>
      <c r="J50" s="46" t="e" cm="1">
        <f t="array" ref="J50">SUM(COUNTIFS(tbl_cleaning[Housing Team],"HOUSING WEST TEAM 3",#REF!,{"1","2","3","4"}))</f>
        <v>#REF!</v>
      </c>
      <c r="K50" s="10"/>
      <c r="L50" s="16" t="e">
        <f>J50/H50</f>
        <v>#REF!</v>
      </c>
      <c r="M50" s="10"/>
      <c r="N50" s="16">
        <f>$F$1</f>
        <v>1</v>
      </c>
      <c r="O50" s="8"/>
      <c r="P50" s="46" t="e">
        <f>COUNTIFS(tbl_cleaning[Housing Team],"HOUSING WEST TEAM 3",#REF!,3)+COUNTIFS(tbl_cleaning[Housing Team],"HOUSING WEST TEAM 3",#REF!,4)</f>
        <v>#REF!</v>
      </c>
      <c r="Q50" s="10"/>
      <c r="R50" s="16">
        <f t="shared" si="20"/>
        <v>0</v>
      </c>
      <c r="S50" s="10"/>
      <c r="T50" s="40">
        <f t="shared" si="21"/>
        <v>0.9</v>
      </c>
      <c r="U50" s="8"/>
    </row>
    <row r="51" spans="1:21" ht="15.75" x14ac:dyDescent="0.25">
      <c r="A51" s="502"/>
      <c r="B51" s="504" t="s">
        <v>12</v>
      </c>
      <c r="C51" s="504"/>
      <c r="D51" s="504"/>
      <c r="E51" s="504"/>
      <c r="F51" s="504"/>
      <c r="G51" s="15"/>
      <c r="H51" s="46" t="e">
        <f>COUNTIFS(#REF!,"HOUSING WEST TEAM 3",#REF!,"&lt;&gt;NV")</f>
        <v>#REF!</v>
      </c>
      <c r="I51" s="10"/>
      <c r="J51" s="46" t="e">
        <f t="array" ref="J51">SUM(COUNTIFS(#REF!,"HOUSING WEST TEAM 3",#REF!,{"1","2","3","4"}))</f>
        <v>#REF!</v>
      </c>
      <c r="K51" s="10"/>
      <c r="L51" s="16" t="e">
        <f>J51/H51</f>
        <v>#REF!</v>
      </c>
      <c r="M51" s="10"/>
      <c r="N51" s="16">
        <f>$F$1</f>
        <v>1</v>
      </c>
      <c r="O51" s="8"/>
      <c r="P51" s="46" t="e">
        <f>COUNTIFS(#REF!,"HOUSING WEST TEAM 3",#REF!,3)+COUNTIFS(#REF!,"HOUSING WEST TEAM 3",#REF!,4)</f>
        <v>#REF!</v>
      </c>
      <c r="Q51" s="10"/>
      <c r="R51" s="16">
        <f t="shared" si="20"/>
        <v>0</v>
      </c>
      <c r="S51" s="10"/>
      <c r="T51" s="40">
        <f t="shared" si="21"/>
        <v>0.9</v>
      </c>
      <c r="U51" s="8"/>
    </row>
    <row r="52" spans="1:21" x14ac:dyDescent="0.25">
      <c r="A52" s="503"/>
      <c r="B52" s="504" t="s">
        <v>13</v>
      </c>
      <c r="C52" s="504"/>
      <c r="D52" s="504"/>
      <c r="E52" s="504"/>
      <c r="F52" s="504"/>
      <c r="G52" s="8"/>
      <c r="H52" s="46" t="e">
        <f>H49+H50+H51</f>
        <v>#REF!</v>
      </c>
      <c r="I52" s="10"/>
      <c r="J52" s="46" t="e">
        <f>SUM(J49:J51)</f>
        <v>#REF!</v>
      </c>
      <c r="K52" s="10"/>
      <c r="L52" s="16" t="e">
        <f>J52/H52</f>
        <v>#REF!</v>
      </c>
      <c r="M52" s="10"/>
      <c r="N52" s="16">
        <f>$F$1</f>
        <v>1</v>
      </c>
      <c r="O52" s="8"/>
      <c r="P52" s="46" t="e">
        <f>SUM(P49:P51)</f>
        <v>#REF!</v>
      </c>
      <c r="Q52" s="10"/>
      <c r="R52" s="16">
        <f t="shared" si="20"/>
        <v>0</v>
      </c>
      <c r="S52" s="10"/>
      <c r="T52" s="40">
        <f t="shared" si="21"/>
        <v>0.9</v>
      </c>
      <c r="U52" s="8"/>
    </row>
    <row r="53" spans="1:21" ht="15.75" customHeight="1" x14ac:dyDescent="0.25">
      <c r="H53"/>
      <c r="J53"/>
      <c r="P53"/>
    </row>
    <row r="54" spans="1:21" ht="15.75" customHeight="1" x14ac:dyDescent="0.25">
      <c r="A54" s="505" t="s">
        <v>1379</v>
      </c>
      <c r="B54" s="504" t="s">
        <v>10</v>
      </c>
      <c r="C54" s="504"/>
      <c r="D54" s="504"/>
      <c r="E54" s="504"/>
      <c r="F54" s="504"/>
      <c r="G54" s="15"/>
      <c r="H54" s="46" t="e">
        <f>COUNTIFS(tbl_cleaning[Housing Team],"HOUSING SOUTH TEAM 4",#REF!,"&lt;&gt;NV")</f>
        <v>#REF!</v>
      </c>
      <c r="I54" s="10"/>
      <c r="J54" s="46" t="e" cm="1">
        <f t="array" ref="J54">SUM(COUNTIFS(tbl_cleaning[Housing Team],"HOUSING SOUTH TEAM 4",#REF!,{"1","2","3","4"}))</f>
        <v>#REF!</v>
      </c>
      <c r="K54" s="10"/>
      <c r="L54" s="16" t="e">
        <f>J54/H54</f>
        <v>#REF!</v>
      </c>
      <c r="M54" s="10"/>
      <c r="N54" s="16">
        <f>$F$1</f>
        <v>1</v>
      </c>
      <c r="O54" s="8"/>
      <c r="P54" s="46" t="e">
        <f>COUNTIFS(tbl_cleaning[Housing Team],"HOUSING SOUTH TEAM 4",#REF!,3)+COUNTIFS(tbl_cleaning[Housing Team],"HOUSING SOUTH TEAM 4",#REF!,4)</f>
        <v>#REF!</v>
      </c>
      <c r="Q54" s="10"/>
      <c r="R54" s="16">
        <f t="shared" ref="R54:R57" si="22">IFERROR(P54/J54,0)</f>
        <v>0</v>
      </c>
      <c r="S54" s="10"/>
      <c r="T54" s="40">
        <f t="shared" ref="T54:T57" si="23">$Q$1</f>
        <v>0.9</v>
      </c>
      <c r="U54" s="8"/>
    </row>
    <row r="55" spans="1:21" ht="15.75" customHeight="1" x14ac:dyDescent="0.25">
      <c r="A55" s="505"/>
      <c r="B55" s="504" t="s">
        <v>11</v>
      </c>
      <c r="C55" s="504"/>
      <c r="D55" s="504"/>
      <c r="E55" s="504"/>
      <c r="F55" s="504"/>
      <c r="G55" s="15"/>
      <c r="H55" s="46" t="e">
        <f>COUNTIFS(tbl_cleaning[Housing Team],"HOUSING SOUTH TEAM 4",#REF!,"&lt;&gt;NV")</f>
        <v>#REF!</v>
      </c>
      <c r="I55" s="10"/>
      <c r="J55" s="46" t="e" cm="1">
        <f t="array" ref="J55">SUM(COUNTIFS(tbl_cleaning[Housing Team],"HOUSING SOUTH TEAM 4",#REF!,{"1","2","3","4"}))</f>
        <v>#REF!</v>
      </c>
      <c r="K55" s="10"/>
      <c r="L55" s="16" t="e">
        <f>J55/H55</f>
        <v>#REF!</v>
      </c>
      <c r="M55" s="10"/>
      <c r="N55" s="16">
        <f>$F$1</f>
        <v>1</v>
      </c>
      <c r="O55" s="8"/>
      <c r="P55" s="46" t="e">
        <f>COUNTIFS(tbl_cleaning[Housing Team],"HOUSING SOUTH TEAM 4",#REF!,3)+COUNTIFS(tbl_cleaning[Housing Team],"HOUSING SOUTH TEAM 4",#REF!,4)</f>
        <v>#REF!</v>
      </c>
      <c r="Q55" s="10"/>
      <c r="R55" s="16">
        <f t="shared" si="22"/>
        <v>0</v>
      </c>
      <c r="S55" s="10"/>
      <c r="T55" s="40">
        <f t="shared" si="23"/>
        <v>0.9</v>
      </c>
      <c r="U55" s="8"/>
    </row>
    <row r="56" spans="1:21" ht="15.75" customHeight="1" x14ac:dyDescent="0.25">
      <c r="A56" s="505"/>
      <c r="B56" s="504" t="s">
        <v>12</v>
      </c>
      <c r="C56" s="504"/>
      <c r="D56" s="504"/>
      <c r="E56" s="504"/>
      <c r="F56" s="504"/>
      <c r="G56" s="15"/>
      <c r="H56" s="46" t="e">
        <f>COUNTIFS(#REF!,"HOUSING SOUTH TEAM 4",#REF!,"&lt;&gt;NV")</f>
        <v>#REF!</v>
      </c>
      <c r="I56" s="10"/>
      <c r="J56" s="46" t="e">
        <f t="array" ref="J56">SUM(COUNTIFS(#REF!,"HOUSING SOUTH TEAM 4",#REF!,{"1","2","3","4"}))</f>
        <v>#REF!</v>
      </c>
      <c r="K56" s="10"/>
      <c r="L56" s="16" t="e">
        <f>J56/H56</f>
        <v>#REF!</v>
      </c>
      <c r="M56" s="10"/>
      <c r="N56" s="16">
        <f>$F$1</f>
        <v>1</v>
      </c>
      <c r="O56" s="8"/>
      <c r="P56" s="46" t="e">
        <f>COUNTIFS(#REF!,"HOUSING SOUTH TEAM 4",#REF!,3)+COUNTIFS(#REF!,"HOUSING SOUTH TEAM 4",#REF!,4)</f>
        <v>#REF!</v>
      </c>
      <c r="Q56" s="10"/>
      <c r="R56" s="16">
        <f t="shared" si="22"/>
        <v>0</v>
      </c>
      <c r="S56" s="10"/>
      <c r="T56" s="40">
        <f t="shared" si="23"/>
        <v>0.9</v>
      </c>
      <c r="U56" s="8"/>
    </row>
    <row r="57" spans="1:21" ht="15.75" customHeight="1" x14ac:dyDescent="0.25">
      <c r="A57" s="506"/>
      <c r="B57" s="504" t="s">
        <v>13</v>
      </c>
      <c r="C57" s="504"/>
      <c r="D57" s="504"/>
      <c r="E57" s="504"/>
      <c r="F57" s="504"/>
      <c r="G57" s="8"/>
      <c r="H57" s="46" t="e">
        <f>H54+H55+H56</f>
        <v>#REF!</v>
      </c>
      <c r="I57" s="10"/>
      <c r="J57" s="46" t="e">
        <f>SUM(J54:J56)</f>
        <v>#REF!</v>
      </c>
      <c r="K57" s="10"/>
      <c r="L57" s="16" t="e">
        <f>J57/H57</f>
        <v>#REF!</v>
      </c>
      <c r="M57" s="10"/>
      <c r="N57" s="16">
        <f>$F$1</f>
        <v>1</v>
      </c>
      <c r="O57" s="8"/>
      <c r="P57" s="46" t="e">
        <f>SUM(P54:P56)</f>
        <v>#REF!</v>
      </c>
      <c r="Q57" s="10"/>
      <c r="R57" s="16">
        <f t="shared" si="22"/>
        <v>0</v>
      </c>
      <c r="S57" s="10"/>
      <c r="T57" s="40">
        <f t="shared" si="23"/>
        <v>0.9</v>
      </c>
      <c r="U57" s="8"/>
    </row>
    <row r="58" spans="1:21" ht="15.75" customHeight="1" x14ac:dyDescent="0.25">
      <c r="H58"/>
      <c r="J58"/>
      <c r="P58"/>
    </row>
    <row r="59" spans="1:21" ht="15.75" customHeight="1" x14ac:dyDescent="0.25">
      <c r="A59" s="505" t="s">
        <v>1384</v>
      </c>
      <c r="B59" s="504" t="s">
        <v>10</v>
      </c>
      <c r="C59" s="504"/>
      <c r="D59" s="504"/>
      <c r="E59" s="504"/>
      <c r="F59" s="504"/>
      <c r="H59" s="46" t="e">
        <f>COUNTIFS(tbl_cleaning[Housing Team],"HOUSING SOUTH TEAM 6",#REF!,"&lt;&gt;NV")</f>
        <v>#REF!</v>
      </c>
      <c r="I59" s="10"/>
      <c r="J59" s="46" t="e" cm="1">
        <f t="array" ref="J59">SUM(COUNTIFS(tbl_cleaning[Housing Team],"HOUSING SOUTH TEAM 6",#REF!,{"1","2","3","4"}))</f>
        <v>#REF!</v>
      </c>
      <c r="K59" s="10"/>
      <c r="L59" s="16" t="e">
        <f>J59/H59</f>
        <v>#REF!</v>
      </c>
      <c r="M59" s="10"/>
      <c r="N59" s="16">
        <f>$F$1</f>
        <v>1</v>
      </c>
      <c r="O59" s="8"/>
      <c r="P59" s="46" t="e">
        <f>COUNTIFS(tbl_cleaning[Housing Team],"HOUSING SOUTH TEAM 6",#REF!,3)+COUNTIFS(tbl_cleaning[Housing Team],"HOUSING SOUTH TEAM 6",#REF!,4)</f>
        <v>#REF!</v>
      </c>
      <c r="Q59" s="10"/>
      <c r="R59" s="16">
        <f t="shared" ref="R59:R62" si="24">IFERROR(P59/J59,0)</f>
        <v>0</v>
      </c>
      <c r="S59" s="10"/>
      <c r="T59" s="40">
        <f t="shared" ref="T59:T62" si="25">$Q$1</f>
        <v>0.9</v>
      </c>
    </row>
    <row r="60" spans="1:21" ht="15.75" customHeight="1" x14ac:dyDescent="0.25">
      <c r="A60" s="505"/>
      <c r="B60" s="504" t="s">
        <v>11</v>
      </c>
      <c r="C60" s="504"/>
      <c r="D60" s="504"/>
      <c r="E60" s="504"/>
      <c r="F60" s="504"/>
      <c r="H60" s="46" t="e">
        <f>COUNTIFS(tbl_cleaning[Housing Team],"HOUSING SOUTH TEAM 6",#REF!,"&lt;&gt;NV")</f>
        <v>#REF!</v>
      </c>
      <c r="I60" s="10"/>
      <c r="J60" s="46" t="e" cm="1">
        <f t="array" ref="J60">SUM(COUNTIFS(tbl_cleaning[Housing Team],"HOUSING SOUTH TEAM 6",#REF!,{"1","2","3","4"}))</f>
        <v>#REF!</v>
      </c>
      <c r="K60" s="10"/>
      <c r="L60" s="16" t="e">
        <f>J60/H60</f>
        <v>#REF!</v>
      </c>
      <c r="M60" s="10"/>
      <c r="N60" s="16">
        <f>$F$1</f>
        <v>1</v>
      </c>
      <c r="O60" s="8"/>
      <c r="P60" s="46" t="e">
        <f>COUNTIFS(tbl_cleaning[Housing Team],"HOUSING SOUTH TEAM 6",#REF!,3)+COUNTIFS(tbl_cleaning[Housing Team],"HOUSING SOUTH TEAM 6",#REF!,4)</f>
        <v>#REF!</v>
      </c>
      <c r="Q60" s="10"/>
      <c r="R60" s="16">
        <f t="shared" si="24"/>
        <v>0</v>
      </c>
      <c r="S60" s="10"/>
      <c r="T60" s="40">
        <f t="shared" si="25"/>
        <v>0.9</v>
      </c>
    </row>
    <row r="61" spans="1:21" ht="15.75" customHeight="1" x14ac:dyDescent="0.25">
      <c r="A61" s="505"/>
      <c r="B61" s="504" t="s">
        <v>12</v>
      </c>
      <c r="C61" s="504"/>
      <c r="D61" s="504"/>
      <c r="E61" s="504"/>
      <c r="F61" s="504"/>
      <c r="H61" s="46" t="e">
        <f>COUNTIFS(#REF!,"HOUSING SOUTH TEAM 6",#REF!,"&lt;&gt;NV")</f>
        <v>#REF!</v>
      </c>
      <c r="I61" s="10"/>
      <c r="J61" s="46" t="e">
        <f t="array" ref="J61">SUM(COUNTIFS(#REF!,"HOUSING SOUTH TEAM 6",#REF!,{"1","2","3","4"}))</f>
        <v>#REF!</v>
      </c>
      <c r="K61" s="10"/>
      <c r="L61" s="16" t="e">
        <f>J61/H61</f>
        <v>#REF!</v>
      </c>
      <c r="M61" s="10"/>
      <c r="N61" s="16">
        <f>$F$1</f>
        <v>1</v>
      </c>
      <c r="O61" s="8"/>
      <c r="P61" s="46" t="e">
        <f>COUNTIFS(#REF!,"HOUSING SOUTH TEAM 6",#REF!,3)+COUNTIFS(#REF!,"HOUSING SOUTH TEAM 6",#REF!,4)</f>
        <v>#REF!</v>
      </c>
      <c r="Q61" s="10"/>
      <c r="R61" s="16">
        <f t="shared" si="24"/>
        <v>0</v>
      </c>
      <c r="S61" s="10"/>
      <c r="T61" s="40">
        <f t="shared" si="25"/>
        <v>0.9</v>
      </c>
    </row>
    <row r="62" spans="1:21" ht="15.75" customHeight="1" x14ac:dyDescent="0.25">
      <c r="A62" s="506"/>
      <c r="B62" s="504" t="s">
        <v>13</v>
      </c>
      <c r="C62" s="504"/>
      <c r="D62" s="504"/>
      <c r="E62" s="504"/>
      <c r="F62" s="504"/>
      <c r="H62" s="46" t="e">
        <f>H59+H60+H61</f>
        <v>#REF!</v>
      </c>
      <c r="I62" s="10"/>
      <c r="J62" s="46" t="e">
        <f>SUM(J59:J61)</f>
        <v>#REF!</v>
      </c>
      <c r="K62" s="10"/>
      <c r="L62" s="16" t="e">
        <f>J62/H62</f>
        <v>#REF!</v>
      </c>
      <c r="M62" s="10"/>
      <c r="N62" s="16">
        <f>$F$1</f>
        <v>1</v>
      </c>
      <c r="O62" s="8"/>
      <c r="P62" s="46" t="e">
        <f>SUM(P59:P61)</f>
        <v>#REF!</v>
      </c>
      <c r="Q62" s="10"/>
      <c r="R62" s="16">
        <f t="shared" si="24"/>
        <v>0</v>
      </c>
      <c r="S62" s="10"/>
      <c r="T62" s="40">
        <f t="shared" si="25"/>
        <v>0.9</v>
      </c>
    </row>
    <row r="63" spans="1:21" ht="16.5" customHeight="1" x14ac:dyDescent="0.25">
      <c r="H63"/>
      <c r="J63"/>
      <c r="P63"/>
    </row>
    <row r="64" spans="1:21" ht="16.5" customHeight="1" x14ac:dyDescent="0.25">
      <c r="A64" s="510" t="s">
        <v>1432</v>
      </c>
      <c r="B64" s="507" t="s">
        <v>10</v>
      </c>
      <c r="C64" s="508"/>
      <c r="D64" s="508"/>
      <c r="E64" s="508"/>
      <c r="F64" s="509"/>
      <c r="H64" s="46" t="e">
        <f>COUNTIFS(tbl_cleaning[Housing Team],"Housing IMR",#REF!,"&lt;&gt;NV")</f>
        <v>#REF!</v>
      </c>
      <c r="I64" s="10"/>
      <c r="J64" s="46" t="e" cm="1">
        <f t="array" ref="J64">SUM(COUNTIFS(tbl_cleaning[Housing Team],"Housing IMR",#REF!,{"1","2","3","4"}))</f>
        <v>#REF!</v>
      </c>
      <c r="K64" s="10"/>
      <c r="L64" s="16" t="e">
        <f>J64/H64</f>
        <v>#REF!</v>
      </c>
      <c r="M64" s="10"/>
      <c r="N64" s="16">
        <f>$F$1</f>
        <v>1</v>
      </c>
      <c r="O64" s="8"/>
      <c r="P64" s="46" t="e">
        <f>COUNTIFS(tbl_cleaning[Housing Team],"Housing IMR",#REF!,3)+COUNTIFS(tbl_cleaning[Housing Team],"Housing IMR",#REF!,4)</f>
        <v>#REF!</v>
      </c>
      <c r="Q64" s="10"/>
      <c r="R64" s="16">
        <f t="shared" ref="R64:R67" si="26">IFERROR(P64/J64,0)</f>
        <v>0</v>
      </c>
      <c r="S64" s="10"/>
      <c r="T64" s="40">
        <f t="shared" ref="T64:T67" si="27">$Q$1</f>
        <v>0.9</v>
      </c>
    </row>
    <row r="65" spans="1:21" ht="16.5" customHeight="1" x14ac:dyDescent="0.25">
      <c r="A65" s="510"/>
      <c r="B65" s="507" t="s">
        <v>11</v>
      </c>
      <c r="C65" s="508"/>
      <c r="D65" s="508"/>
      <c r="E65" s="508"/>
      <c r="F65" s="509"/>
      <c r="H65" s="46" t="e">
        <f>COUNTIFS(tbl_cleaning[Housing Team],"Housing IMR",#REF!,"&lt;&gt;NV")</f>
        <v>#REF!</v>
      </c>
      <c r="I65" s="10"/>
      <c r="J65" s="46" t="e" cm="1">
        <f t="array" ref="J65">SUM(COUNTIFS(tbl_cleaning[Housing Team],"Housing IMR",#REF!,{"1","2","3","4"}))</f>
        <v>#REF!</v>
      </c>
      <c r="K65" s="10"/>
      <c r="L65" s="16" t="e">
        <f>J65/H65</f>
        <v>#REF!</v>
      </c>
      <c r="M65" s="10"/>
      <c r="N65" s="16">
        <f>$F$1</f>
        <v>1</v>
      </c>
      <c r="O65" s="8"/>
      <c r="P65" s="46" t="e">
        <f>COUNTIFS(tbl_cleaning[Housing Team],"Housing IMR",#REF!,3)+COUNTIFS(tbl_cleaning[Housing Team],"Housing IMR",#REF!,4)</f>
        <v>#REF!</v>
      </c>
      <c r="Q65" s="10"/>
      <c r="R65" s="16">
        <f t="shared" si="26"/>
        <v>0</v>
      </c>
      <c r="S65" s="10"/>
      <c r="T65" s="40">
        <f t="shared" si="27"/>
        <v>0.9</v>
      </c>
    </row>
    <row r="66" spans="1:21" ht="15.75" customHeight="1" x14ac:dyDescent="0.25">
      <c r="A66" s="510"/>
      <c r="B66" s="507" t="s">
        <v>12</v>
      </c>
      <c r="C66" s="508"/>
      <c r="D66" s="508"/>
      <c r="E66" s="508"/>
      <c r="F66" s="509"/>
      <c r="H66" s="46" t="e">
        <f>COUNTIFS(#REF!,"Housing IMR",#REF!,"&lt;&gt;NV")</f>
        <v>#REF!</v>
      </c>
      <c r="I66" s="10"/>
      <c r="J66" s="46" t="e">
        <f t="array" ref="J66">SUM(COUNTIFS(#REF!,"Housing IMR",#REF!,{"1","2","3","4"}))</f>
        <v>#REF!</v>
      </c>
      <c r="K66" s="10"/>
      <c r="L66" s="16" t="e">
        <f>J66/H66</f>
        <v>#REF!</v>
      </c>
      <c r="M66" s="10"/>
      <c r="N66" s="16">
        <f>$F$1</f>
        <v>1</v>
      </c>
      <c r="O66" s="8"/>
      <c r="P66" s="46" t="e">
        <f>COUNTIFS(#REF!,"Housing IMR",#REF!,3)+COUNTIFS(#REF!,"Housing IMR",#REF!,4)</f>
        <v>#REF!</v>
      </c>
      <c r="Q66" s="10"/>
      <c r="R66" s="16">
        <f t="shared" si="26"/>
        <v>0</v>
      </c>
      <c r="S66" s="10"/>
      <c r="T66" s="40">
        <f t="shared" si="27"/>
        <v>0.9</v>
      </c>
    </row>
    <row r="67" spans="1:21" ht="15.75" customHeight="1" x14ac:dyDescent="0.25">
      <c r="A67" s="510"/>
      <c r="B67" s="507" t="s">
        <v>13</v>
      </c>
      <c r="C67" s="508"/>
      <c r="D67" s="508"/>
      <c r="E67" s="508"/>
      <c r="F67" s="509"/>
      <c r="H67" s="46" t="e">
        <f>H64+H65+H66</f>
        <v>#REF!</v>
      </c>
      <c r="I67" s="10"/>
      <c r="J67" s="46" t="e">
        <f>SUM(J64:J66)</f>
        <v>#REF!</v>
      </c>
      <c r="K67" s="10"/>
      <c r="L67" s="16" t="e">
        <f>J67/H67</f>
        <v>#REF!</v>
      </c>
      <c r="M67" s="10"/>
      <c r="N67" s="16">
        <f>$F$1</f>
        <v>1</v>
      </c>
      <c r="O67" s="8"/>
      <c r="P67" s="46" t="e">
        <f>SUM(P64:P66)</f>
        <v>#REF!</v>
      </c>
      <c r="Q67" s="10"/>
      <c r="R67" s="16">
        <f t="shared" si="26"/>
        <v>0</v>
      </c>
      <c r="S67" s="10"/>
      <c r="T67" s="40">
        <f t="shared" si="27"/>
        <v>0.9</v>
      </c>
    </row>
    <row r="68" spans="1:21" ht="15.75" customHeight="1" x14ac:dyDescent="0.25">
      <c r="H68"/>
      <c r="J68"/>
      <c r="P68"/>
    </row>
    <row r="69" spans="1:21" ht="15.75" customHeight="1" x14ac:dyDescent="0.25">
      <c r="A69" s="510" t="s">
        <v>1390</v>
      </c>
      <c r="B69" s="507" t="s">
        <v>10</v>
      </c>
      <c r="C69" s="508"/>
      <c r="D69" s="508"/>
      <c r="E69" s="508"/>
      <c r="F69" s="509"/>
      <c r="H69" s="46" t="e">
        <f>COUNTIFS(tbl_cleaning[Housing Team],"HOUSING EAST TEAM 1",#REF!,"&lt;&gt;NV")</f>
        <v>#REF!</v>
      </c>
      <c r="I69" s="10"/>
      <c r="J69" s="46" t="e" cm="1">
        <f t="array" ref="J69">SUM(COUNTIFS(tbl_cleaning[Housing Team],"HOUSING EAST TEAM 1",#REF!,{"1","2","3","4"}))</f>
        <v>#REF!</v>
      </c>
      <c r="K69" s="10"/>
      <c r="L69" s="16" t="e">
        <f>J69/H69</f>
        <v>#REF!</v>
      </c>
      <c r="M69" s="10"/>
      <c r="N69" s="16">
        <f>$F$1</f>
        <v>1</v>
      </c>
      <c r="O69" s="8"/>
      <c r="P69" s="46" t="e">
        <f>COUNTIFS(tbl_cleaning[Housing Team],"HOUSING EAST TEAM 1",#REF!,3)+COUNTIFS(tbl_cleaning[Housing Team],"HOUSING EAST TEAM 1",#REF!,4)</f>
        <v>#REF!</v>
      </c>
      <c r="Q69" s="10"/>
      <c r="R69" s="16">
        <f t="shared" ref="R69:R72" si="28">IFERROR(P69/J69,0)</f>
        <v>0</v>
      </c>
      <c r="S69" s="10"/>
      <c r="T69" s="40">
        <f t="shared" ref="T69:T72" si="29">$Q$1</f>
        <v>0.9</v>
      </c>
      <c r="U69" s="8"/>
    </row>
    <row r="70" spans="1:21" ht="15.75" customHeight="1" x14ac:dyDescent="0.25">
      <c r="A70" s="510"/>
      <c r="B70" s="507" t="s">
        <v>11</v>
      </c>
      <c r="C70" s="508"/>
      <c r="D70" s="508"/>
      <c r="E70" s="508"/>
      <c r="F70" s="509"/>
      <c r="H70" s="46" t="e">
        <f>COUNTIFS(tbl_cleaning[Housing Team],"HOUSING EAST TEAM 1",#REF!,"&lt;&gt;NV")</f>
        <v>#REF!</v>
      </c>
      <c r="I70" s="10"/>
      <c r="J70" s="46" t="e" cm="1">
        <f t="array" ref="J70">SUM(COUNTIFS(tbl_cleaning[Housing Team],"HOUSING EAST TEAM 1",#REF!,{"1","2","3","4"}))</f>
        <v>#REF!</v>
      </c>
      <c r="K70" s="10"/>
      <c r="L70" s="16" t="e">
        <f>J70/H70</f>
        <v>#REF!</v>
      </c>
      <c r="M70" s="10"/>
      <c r="N70" s="16">
        <f>$F$1</f>
        <v>1</v>
      </c>
      <c r="O70" s="8"/>
      <c r="P70" s="46" t="e">
        <f>COUNTIFS(tbl_cleaning[Housing Team],"HOUSING EAST TEAM 1",#REF!,3)+COUNTIFS(tbl_cleaning[Housing Team],"HOUSING EAST TEAM 1",#REF!,4)</f>
        <v>#REF!</v>
      </c>
      <c r="Q70" s="10"/>
      <c r="R70" s="16">
        <f t="shared" si="28"/>
        <v>0</v>
      </c>
      <c r="S70" s="10"/>
      <c r="T70" s="40">
        <f t="shared" si="29"/>
        <v>0.9</v>
      </c>
      <c r="U70" s="8"/>
    </row>
    <row r="71" spans="1:21" ht="15.75" customHeight="1" x14ac:dyDescent="0.25">
      <c r="A71" s="510"/>
      <c r="B71" s="507" t="s">
        <v>12</v>
      </c>
      <c r="C71" s="508"/>
      <c r="D71" s="508"/>
      <c r="E71" s="508"/>
      <c r="F71" s="509"/>
      <c r="H71" s="46" t="e">
        <f>COUNTIFS(#REF!,"HOUSING EAST TEAM 1",#REF!,"&lt;&gt;NV")</f>
        <v>#REF!</v>
      </c>
      <c r="I71" s="10"/>
      <c r="J71" s="46" t="e">
        <f t="array" ref="J71">SUM(COUNTIFS(#REF!,"HOUSING EAST TEAM 1",#REF!,{"1","2","3","4"}))</f>
        <v>#REF!</v>
      </c>
      <c r="K71" s="10"/>
      <c r="L71" s="16" t="e">
        <f>J71/H71</f>
        <v>#REF!</v>
      </c>
      <c r="M71" s="10"/>
      <c r="N71" s="16">
        <f>$F$1</f>
        <v>1</v>
      </c>
      <c r="O71" s="8"/>
      <c r="P71" s="46" t="e">
        <f>COUNTIFS(#REF!,"HOUSING EAST TEAM 1",#REF!,3)+COUNTIFS(#REF!,"HOUSING EAST TEAM 1",#REF!,4)</f>
        <v>#REF!</v>
      </c>
      <c r="Q71" s="10"/>
      <c r="R71" s="16">
        <f t="shared" si="28"/>
        <v>0</v>
      </c>
      <c r="S71" s="10"/>
      <c r="T71" s="40">
        <f t="shared" si="29"/>
        <v>0.9</v>
      </c>
      <c r="U71" s="8"/>
    </row>
    <row r="72" spans="1:21" ht="15.75" customHeight="1" x14ac:dyDescent="0.25">
      <c r="A72" s="511"/>
      <c r="B72" s="504" t="s">
        <v>13</v>
      </c>
      <c r="C72" s="504"/>
      <c r="D72" s="504"/>
      <c r="E72" s="504"/>
      <c r="F72" s="504"/>
      <c r="H72" s="46" t="e">
        <f>H69+H70+H71</f>
        <v>#REF!</v>
      </c>
      <c r="I72" s="10"/>
      <c r="J72" s="46" t="e">
        <f>SUM(J69:J71)</f>
        <v>#REF!</v>
      </c>
      <c r="K72" s="10"/>
      <c r="L72" s="16" t="e">
        <f>J72/H72</f>
        <v>#REF!</v>
      </c>
      <c r="M72" s="10"/>
      <c r="N72" s="16">
        <f>$F$1</f>
        <v>1</v>
      </c>
      <c r="O72" s="8"/>
      <c r="P72" s="46" t="e">
        <f>SUM(P69:P71)</f>
        <v>#REF!</v>
      </c>
      <c r="Q72" s="10"/>
      <c r="R72" s="16">
        <f t="shared" si="28"/>
        <v>0</v>
      </c>
      <c r="S72" s="10"/>
      <c r="T72" s="40">
        <f t="shared" si="29"/>
        <v>0.9</v>
      </c>
      <c r="U72" s="8"/>
    </row>
    <row r="73" spans="1:21" ht="15.75" customHeight="1" x14ac:dyDescent="0.25">
      <c r="H73"/>
      <c r="J73"/>
      <c r="P73"/>
    </row>
    <row r="74" spans="1:21" ht="15.75" customHeight="1" x14ac:dyDescent="0.25">
      <c r="A74" s="510" t="s">
        <v>1383</v>
      </c>
      <c r="B74" s="504" t="s">
        <v>10</v>
      </c>
      <c r="C74" s="504"/>
      <c r="D74" s="504"/>
      <c r="E74" s="504"/>
      <c r="F74" s="504"/>
      <c r="H74" s="46" t="e">
        <f>COUNTIFS(tbl_cleaning[Housing Team],"HOUSING EAST TEAM 2",#REF!,"&lt;&gt;NV")</f>
        <v>#REF!</v>
      </c>
      <c r="I74" s="10"/>
      <c r="J74" s="46" t="e" cm="1">
        <f t="array" ref="J74">SUM(COUNTIFS(tbl_cleaning[Housing Team],"HOUSING EAST TEAM 2",#REF!,{"1","2","3","4"}))</f>
        <v>#REF!</v>
      </c>
      <c r="K74" s="10"/>
      <c r="L74" s="16" t="e">
        <f>J74/H74</f>
        <v>#REF!</v>
      </c>
      <c r="M74" s="10"/>
      <c r="N74" s="16">
        <f>$F$1</f>
        <v>1</v>
      </c>
      <c r="O74" s="8"/>
      <c r="P74" s="46" t="e">
        <f>COUNTIFS(tbl_cleaning[Housing Team],"HOUSING EAST TEAM 2",#REF!,3)+COUNTIFS(tbl_cleaning[Housing Team],"HOUSING EAST TEAM 2",#REF!,4)</f>
        <v>#REF!</v>
      </c>
      <c r="Q74" s="10"/>
      <c r="R74" s="16">
        <f t="shared" ref="R74:R77" si="30">IFERROR(P74/J74,0)</f>
        <v>0</v>
      </c>
      <c r="S74" s="10"/>
      <c r="T74" s="40">
        <f t="shared" ref="T74:T77" si="31">$Q$1</f>
        <v>0.9</v>
      </c>
      <c r="U74" s="8"/>
    </row>
    <row r="75" spans="1:21" ht="15.75" customHeight="1" x14ac:dyDescent="0.25">
      <c r="A75" s="512"/>
      <c r="B75" s="504" t="s">
        <v>11</v>
      </c>
      <c r="C75" s="504"/>
      <c r="D75" s="504"/>
      <c r="E75" s="504"/>
      <c r="F75" s="504"/>
      <c r="H75" s="46" t="e">
        <f>COUNTIFS(tbl_cleaning[Housing Team],"HOUSING EAST TEAM 2",#REF!,"&lt;&gt;NV")</f>
        <v>#REF!</v>
      </c>
      <c r="I75" s="10"/>
      <c r="J75" s="46" t="e" cm="1">
        <f t="array" ref="J75">SUM(COUNTIFS(tbl_cleaning[Housing Team],"HOUSING EAST TEAM 2",#REF!,{"1","2","3","4"}))</f>
        <v>#REF!</v>
      </c>
      <c r="K75" s="10"/>
      <c r="L75" s="16" t="e">
        <f>J75/H75</f>
        <v>#REF!</v>
      </c>
      <c r="M75" s="10"/>
      <c r="N75" s="16">
        <f>$F$1</f>
        <v>1</v>
      </c>
      <c r="O75" s="8"/>
      <c r="P75" s="46" t="e">
        <f>COUNTIFS(tbl_cleaning[Housing Team],"HOUSING EAST TEAM 2",#REF!,3)+COUNTIFS(tbl_cleaning[Housing Team],"HOUSING EAST TEAM 2",#REF!,4)</f>
        <v>#REF!</v>
      </c>
      <c r="Q75" s="10"/>
      <c r="R75" s="16">
        <f t="shared" si="30"/>
        <v>0</v>
      </c>
      <c r="S75" s="10"/>
      <c r="T75" s="40">
        <f t="shared" si="31"/>
        <v>0.9</v>
      </c>
      <c r="U75" s="8"/>
    </row>
    <row r="76" spans="1:21" ht="15.75" customHeight="1" x14ac:dyDescent="0.25">
      <c r="A76" s="512"/>
      <c r="B76" s="504" t="s">
        <v>12</v>
      </c>
      <c r="C76" s="504"/>
      <c r="D76" s="504"/>
      <c r="E76" s="504"/>
      <c r="F76" s="504"/>
      <c r="H76" s="46" t="e">
        <f>COUNTIFS(#REF!,"HOUSING EAST TEAM 2",#REF!,"&lt;&gt;NV")</f>
        <v>#REF!</v>
      </c>
      <c r="I76" s="10"/>
      <c r="J76" s="46" t="e">
        <f t="array" ref="J76">SUM(COUNTIFS(#REF!,"HOUSING EAST TEAM 2",#REF!,{"1","2","3","4"}))</f>
        <v>#REF!</v>
      </c>
      <c r="K76" s="10"/>
      <c r="L76" s="16" t="e">
        <f>J76/H76</f>
        <v>#REF!</v>
      </c>
      <c r="M76" s="10"/>
      <c r="N76" s="16">
        <f>$F$1</f>
        <v>1</v>
      </c>
      <c r="O76" s="8"/>
      <c r="P76" s="46" t="e">
        <f>COUNTIFS(#REF!,"HOUSING EAST TEAM 2",#REF!,3)+COUNTIFS(#REF!,"HOUSING EAST TEAM 2",#REF!,4)</f>
        <v>#REF!</v>
      </c>
      <c r="Q76" s="10"/>
      <c r="R76" s="16">
        <f t="shared" si="30"/>
        <v>0</v>
      </c>
      <c r="S76" s="10"/>
      <c r="T76" s="40">
        <f t="shared" si="31"/>
        <v>0.9</v>
      </c>
      <c r="U76" s="8"/>
    </row>
    <row r="77" spans="1:21" ht="15.75" customHeight="1" x14ac:dyDescent="0.25">
      <c r="A77" s="513"/>
      <c r="B77" s="504" t="s">
        <v>13</v>
      </c>
      <c r="C77" s="504"/>
      <c r="D77" s="504"/>
      <c r="E77" s="504"/>
      <c r="F77" s="504"/>
      <c r="H77" s="46" t="e">
        <f>H74+H75+H76</f>
        <v>#REF!</v>
      </c>
      <c r="I77" s="10"/>
      <c r="J77" s="46" t="e">
        <f>SUM(J74:J76)</f>
        <v>#REF!</v>
      </c>
      <c r="K77" s="10"/>
      <c r="L77" s="16" t="e">
        <f>J77/H77</f>
        <v>#REF!</v>
      </c>
      <c r="M77" s="10"/>
      <c r="N77" s="16">
        <f>$F$1</f>
        <v>1</v>
      </c>
      <c r="O77" s="8"/>
      <c r="P77" s="46" t="e">
        <f>SUM(P74:P76)</f>
        <v>#REF!</v>
      </c>
      <c r="Q77" s="10"/>
      <c r="R77" s="16">
        <f t="shared" si="30"/>
        <v>0</v>
      </c>
      <c r="S77" s="10"/>
      <c r="T77" s="40">
        <f t="shared" si="31"/>
        <v>0.9</v>
      </c>
      <c r="U77" s="8"/>
    </row>
    <row r="78" spans="1:21" ht="15.75" customHeight="1" x14ac:dyDescent="0.25">
      <c r="H78"/>
      <c r="J78"/>
      <c r="P78"/>
    </row>
    <row r="79" spans="1:21" ht="15.75" customHeight="1" x14ac:dyDescent="0.25">
      <c r="A79" s="510" t="s">
        <v>1365</v>
      </c>
      <c r="B79" s="504" t="s">
        <v>10</v>
      </c>
      <c r="C79" s="504"/>
      <c r="D79" s="504"/>
      <c r="E79" s="504"/>
      <c r="F79" s="504"/>
      <c r="H79" s="46" t="e">
        <f>COUNTIFS(tbl_cleaning[Housing Team],"HOUSING EAST TEAM 3",#REF!,"&lt;&gt;NV")</f>
        <v>#REF!</v>
      </c>
      <c r="I79" s="10"/>
      <c r="J79" s="46" t="e" cm="1">
        <f t="array" ref="J79">SUM(COUNTIFS(tbl_cleaning[Housing Team],"HOUSING EAST TEAM 3",#REF!,{"1","2","3","4"}))</f>
        <v>#REF!</v>
      </c>
      <c r="K79" s="10"/>
      <c r="L79" s="16" t="e">
        <f>J79/H79</f>
        <v>#REF!</v>
      </c>
      <c r="M79" s="10"/>
      <c r="N79" s="16">
        <f>$F$1</f>
        <v>1</v>
      </c>
      <c r="O79" s="8"/>
      <c r="P79" s="46" t="e">
        <f>COUNTIFS(tbl_cleaning[Housing Team],"HOUSING EAST TEAM 3",#REF!,3)+COUNTIFS(tbl_cleaning[Housing Team],"HOUSING EAST TEAM 3",#REF!,4)</f>
        <v>#REF!</v>
      </c>
      <c r="Q79" s="10"/>
      <c r="R79" s="16">
        <f t="shared" ref="R79:R82" si="32">IFERROR(P79/J79,0)</f>
        <v>0</v>
      </c>
      <c r="S79" s="10"/>
      <c r="T79" s="40">
        <f t="shared" ref="T79:T82" si="33">$Q$1</f>
        <v>0.9</v>
      </c>
      <c r="U79" s="8"/>
    </row>
    <row r="80" spans="1:21" ht="15.75" customHeight="1" x14ac:dyDescent="0.25">
      <c r="A80" s="512"/>
      <c r="B80" s="504" t="s">
        <v>11</v>
      </c>
      <c r="C80" s="504"/>
      <c r="D80" s="504"/>
      <c r="E80" s="504"/>
      <c r="F80" s="504"/>
      <c r="H80" s="46" t="e">
        <f>COUNTIFS(tbl_cleaning[Housing Team],"HOUSING EAST TEAM 3",#REF!,"&lt;&gt;NV")</f>
        <v>#REF!</v>
      </c>
      <c r="I80" s="10"/>
      <c r="J80" s="46" t="e" cm="1">
        <f t="array" ref="J80">SUM(COUNTIFS(tbl_cleaning[Housing Team],"HOUSING EAST TEAM 3",#REF!,{"1","2","3","4"}))</f>
        <v>#REF!</v>
      </c>
      <c r="K80" s="10"/>
      <c r="L80" s="16" t="e">
        <f>J80/H80</f>
        <v>#REF!</v>
      </c>
      <c r="M80" s="10"/>
      <c r="N80" s="16">
        <f>$F$1</f>
        <v>1</v>
      </c>
      <c r="O80" s="8"/>
      <c r="P80" s="46" t="e">
        <f>COUNTIFS(tbl_cleaning[Housing Team],"HOUSING EAST TEAM 3",#REF!,3)+COUNTIFS(tbl_cleaning[Housing Team],"HOUSING EAST TEAM 3",#REF!,4)</f>
        <v>#REF!</v>
      </c>
      <c r="Q80" s="10"/>
      <c r="R80" s="16">
        <f t="shared" si="32"/>
        <v>0</v>
      </c>
      <c r="S80" s="10"/>
      <c r="T80" s="40">
        <f t="shared" si="33"/>
        <v>0.9</v>
      </c>
      <c r="U80" s="8"/>
    </row>
    <row r="81" spans="1:21" ht="15.75" customHeight="1" x14ac:dyDescent="0.25">
      <c r="A81" s="512"/>
      <c r="B81" s="504" t="s">
        <v>12</v>
      </c>
      <c r="C81" s="504"/>
      <c r="D81" s="504"/>
      <c r="E81" s="504"/>
      <c r="F81" s="504"/>
      <c r="H81" s="46" t="e">
        <f>COUNTIFS(#REF!,"HOUSING EAST TEAM 3",#REF!,"&lt;&gt;NV")</f>
        <v>#REF!</v>
      </c>
      <c r="I81" s="10"/>
      <c r="J81" s="46" t="e">
        <f t="array" ref="J81">SUM(COUNTIFS(#REF!,"HOUSING EAST TEAM 3",#REF!,{"1","2","3","4"}))</f>
        <v>#REF!</v>
      </c>
      <c r="K81" s="10"/>
      <c r="L81" s="16" t="e">
        <f>J81/H81</f>
        <v>#REF!</v>
      </c>
      <c r="M81" s="10"/>
      <c r="N81" s="16">
        <f>$F$1</f>
        <v>1</v>
      </c>
      <c r="O81" s="8"/>
      <c r="P81" s="46" t="e">
        <f>COUNTIFS(#REF!,"HOUSING EAST TEAM 3",#REF!,3)+COUNTIFS(#REF!,"HOUSING EAST TEAM 3",#REF!,4)</f>
        <v>#REF!</v>
      </c>
      <c r="Q81" s="10"/>
      <c r="R81" s="16">
        <f t="shared" si="32"/>
        <v>0</v>
      </c>
      <c r="S81" s="10"/>
      <c r="T81" s="40">
        <f t="shared" si="33"/>
        <v>0.9</v>
      </c>
      <c r="U81" s="8"/>
    </row>
    <row r="82" spans="1:21" ht="15.75" customHeight="1" x14ac:dyDescent="0.25">
      <c r="A82" s="513"/>
      <c r="B82" s="504" t="s">
        <v>13</v>
      </c>
      <c r="C82" s="504"/>
      <c r="D82" s="504"/>
      <c r="E82" s="504"/>
      <c r="F82" s="504"/>
      <c r="H82" s="46" t="e">
        <f>H79+H80+H81</f>
        <v>#REF!</v>
      </c>
      <c r="I82" s="10"/>
      <c r="J82" s="46" t="e">
        <f>SUM(J79:J81)</f>
        <v>#REF!</v>
      </c>
      <c r="K82" s="10"/>
      <c r="L82" s="16" t="e">
        <f>J82/H82</f>
        <v>#REF!</v>
      </c>
      <c r="M82" s="10"/>
      <c r="N82" s="16">
        <f>$F$1</f>
        <v>1</v>
      </c>
      <c r="O82" s="8"/>
      <c r="P82" s="46" t="e">
        <f>SUM(P79:P81)</f>
        <v>#REF!</v>
      </c>
      <c r="Q82" s="10"/>
      <c r="R82" s="16">
        <f t="shared" si="32"/>
        <v>0</v>
      </c>
      <c r="S82" s="10"/>
      <c r="T82" s="40">
        <f t="shared" si="33"/>
        <v>0.9</v>
      </c>
      <c r="U82" s="8"/>
    </row>
    <row r="83" spans="1:21" ht="15.75" customHeight="1" x14ac:dyDescent="0.25">
      <c r="H83"/>
      <c r="J83"/>
      <c r="P83"/>
    </row>
    <row r="84" spans="1:21" ht="15.75" customHeight="1" x14ac:dyDescent="0.25">
      <c r="A84" s="510" t="s">
        <v>1378</v>
      </c>
      <c r="B84" s="504" t="s">
        <v>10</v>
      </c>
      <c r="C84" s="504"/>
      <c r="D84" s="504"/>
      <c r="E84" s="504"/>
      <c r="F84" s="504"/>
      <c r="H84" s="46" t="e">
        <f>COUNTIFS(tbl_cleaning[Housing Team],"HOUSING EAST TEAM 4",#REF!,"&lt;&gt;NV")</f>
        <v>#REF!</v>
      </c>
      <c r="I84" s="10"/>
      <c r="J84" s="46" t="e" cm="1">
        <f t="array" ref="J84">SUM(COUNTIFS(tbl_cleaning[Housing Team],"HOUSING EAST TEAM 4",#REF!,{"1","2","3","4"}))</f>
        <v>#REF!</v>
      </c>
      <c r="K84" s="10"/>
      <c r="L84" s="16" t="e">
        <f>J84/H84</f>
        <v>#REF!</v>
      </c>
      <c r="M84" s="10"/>
      <c r="N84" s="16">
        <f>$F$1</f>
        <v>1</v>
      </c>
      <c r="O84" s="8"/>
      <c r="P84" s="46" t="e">
        <f>COUNTIFS(tbl_cleaning[Housing Team],"HOUSING EAST TEAM 4",#REF!,3)+COUNTIFS(tbl_cleaning[Housing Team],"HOUSING EAST TEAM 4",#REF!,4)</f>
        <v>#REF!</v>
      </c>
      <c r="Q84" s="10"/>
      <c r="R84" s="16">
        <f t="shared" ref="R84:R87" si="34">IFERROR(P84/J84,0)</f>
        <v>0</v>
      </c>
      <c r="S84" s="10"/>
      <c r="T84" s="40">
        <f t="shared" ref="T84:T87" si="35">$Q$1</f>
        <v>0.9</v>
      </c>
      <c r="U84" s="8"/>
    </row>
    <row r="85" spans="1:21" ht="15.75" customHeight="1" x14ac:dyDescent="0.25">
      <c r="A85" s="512"/>
      <c r="B85" s="504" t="s">
        <v>11</v>
      </c>
      <c r="C85" s="504"/>
      <c r="D85" s="504"/>
      <c r="E85" s="504"/>
      <c r="F85" s="504"/>
      <c r="H85" s="46" t="e">
        <f>COUNTIFS(tbl_cleaning[Housing Team],"HOUSING EAST TEAM 4",#REF!,"&lt;&gt;NV")</f>
        <v>#REF!</v>
      </c>
      <c r="I85" s="10"/>
      <c r="J85" s="46" t="e" cm="1">
        <f t="array" ref="J85">SUM(COUNTIFS(tbl_cleaning[Housing Team],"HOUSING EAST TEAM 4",#REF!,{"1","2","3","4"}))</f>
        <v>#REF!</v>
      </c>
      <c r="K85" s="10"/>
      <c r="L85" s="16" t="e">
        <f>J85/H85</f>
        <v>#REF!</v>
      </c>
      <c r="M85" s="10"/>
      <c r="N85" s="16">
        <f>$F$1</f>
        <v>1</v>
      </c>
      <c r="O85" s="8"/>
      <c r="P85" s="46" t="e">
        <f>COUNTIFS(tbl_cleaning[Housing Team],"HOUSING EAST TEAM 4",#REF!,3)+COUNTIFS(tbl_cleaning[Housing Team],"HOUSING EAST TEAM 4",#REF!,4)</f>
        <v>#REF!</v>
      </c>
      <c r="Q85" s="10"/>
      <c r="R85" s="16">
        <f t="shared" si="34"/>
        <v>0</v>
      </c>
      <c r="S85" s="10"/>
      <c r="T85" s="40">
        <f t="shared" si="35"/>
        <v>0.9</v>
      </c>
      <c r="U85" s="8"/>
    </row>
    <row r="86" spans="1:21" ht="15.75" customHeight="1" x14ac:dyDescent="0.25">
      <c r="A86" s="512"/>
      <c r="B86" s="504" t="s">
        <v>12</v>
      </c>
      <c r="C86" s="504"/>
      <c r="D86" s="504"/>
      <c r="E86" s="504"/>
      <c r="F86" s="504"/>
      <c r="H86" s="46" t="e">
        <f>COUNTIFS(#REF!,"HOUSING EAST TEAM 4",#REF!,"&lt;&gt;NV")</f>
        <v>#REF!</v>
      </c>
      <c r="I86" s="10"/>
      <c r="J86" s="46" t="e">
        <f t="array" ref="J86">SUM(COUNTIFS(#REF!,"HOUSING EAST TEAM 4",#REF!,{"1","2","3","4"}))</f>
        <v>#REF!</v>
      </c>
      <c r="K86" s="10"/>
      <c r="L86" s="16" t="e">
        <f>J86/H86</f>
        <v>#REF!</v>
      </c>
      <c r="M86" s="10"/>
      <c r="N86" s="16">
        <f>$F$1</f>
        <v>1</v>
      </c>
      <c r="O86" s="8"/>
      <c r="P86" s="46" t="e">
        <f>COUNTIFS(#REF!,"HOUSING EAST TEAM 4",#REF!,3)+COUNTIFS(#REF!,"HOUSING EAST TEAM 4",#REF!,4)</f>
        <v>#REF!</v>
      </c>
      <c r="Q86" s="10"/>
      <c r="R86" s="16">
        <f t="shared" si="34"/>
        <v>0</v>
      </c>
      <c r="S86" s="10"/>
      <c r="T86" s="40">
        <f t="shared" si="35"/>
        <v>0.9</v>
      </c>
      <c r="U86" s="8"/>
    </row>
    <row r="87" spans="1:21" ht="15.75" customHeight="1" x14ac:dyDescent="0.25">
      <c r="A87" s="513"/>
      <c r="B87" s="504" t="s">
        <v>13</v>
      </c>
      <c r="C87" s="504"/>
      <c r="D87" s="504"/>
      <c r="E87" s="504"/>
      <c r="F87" s="504"/>
      <c r="H87" s="46" t="e">
        <f>H84+H85+H86</f>
        <v>#REF!</v>
      </c>
      <c r="I87" s="10"/>
      <c r="J87" s="46" t="e">
        <f>SUM(J84:J86)</f>
        <v>#REF!</v>
      </c>
      <c r="K87" s="10"/>
      <c r="L87" s="16" t="e">
        <f>J87/H87</f>
        <v>#REF!</v>
      </c>
      <c r="M87" s="10"/>
      <c r="N87" s="16">
        <f>$F$1</f>
        <v>1</v>
      </c>
      <c r="O87" s="8"/>
      <c r="P87" s="46" t="e">
        <f>SUM(P84:P86)</f>
        <v>#REF!</v>
      </c>
      <c r="Q87" s="10"/>
      <c r="R87" s="16">
        <f t="shared" si="34"/>
        <v>0</v>
      </c>
      <c r="S87" s="10"/>
      <c r="T87" s="40">
        <f t="shared" si="35"/>
        <v>0.9</v>
      </c>
      <c r="U87" s="8"/>
    </row>
    <row r="88" spans="1:21" ht="15.75" customHeight="1" x14ac:dyDescent="0.25">
      <c r="H88"/>
      <c r="J88"/>
      <c r="P88"/>
    </row>
    <row r="89" spans="1:21" ht="15.75" customHeight="1" x14ac:dyDescent="0.25">
      <c r="A89" s="514" t="s">
        <v>1372</v>
      </c>
      <c r="B89" s="504" t="s">
        <v>10</v>
      </c>
      <c r="C89" s="504"/>
      <c r="D89" s="504"/>
      <c r="E89" s="504"/>
      <c r="F89" s="504"/>
      <c r="H89" s="46" t="e">
        <f>COUNTIFS(tbl_cleaning[Housing Team],"HOUSING NORTH TEAM 1",#REF!,"&lt;&gt;NV")</f>
        <v>#REF!</v>
      </c>
      <c r="I89" s="10"/>
      <c r="J89" s="46" t="e" cm="1">
        <f t="array" ref="J89">SUM(COUNTIFS(tbl_cleaning[Housing Team],"HOUSING NORTH TEAM 1",#REF!,{"1","2","3","4"}))</f>
        <v>#REF!</v>
      </c>
      <c r="K89" s="10"/>
      <c r="L89" s="16" t="e">
        <f>J89/H89</f>
        <v>#REF!</v>
      </c>
      <c r="M89" s="10"/>
      <c r="N89" s="16">
        <f>$F$1</f>
        <v>1</v>
      </c>
      <c r="O89" s="8"/>
      <c r="P89" s="46" t="e">
        <f>COUNTIFS(tbl_cleaning[Housing Team],"HOUSING NORTH TEAM 1",#REF!,3)+COUNTIFS(tbl_cleaning[Housing Team],"HOUSING NORTH TEAM 1",#REF!,4)</f>
        <v>#REF!</v>
      </c>
      <c r="Q89" s="10"/>
      <c r="R89" s="16">
        <f t="shared" ref="R89:R92" si="36">IFERROR(P89/J89,0)</f>
        <v>0</v>
      </c>
      <c r="S89" s="10"/>
      <c r="T89" s="40">
        <f t="shared" ref="T89:T92" si="37">$Q$1</f>
        <v>0.9</v>
      </c>
      <c r="U89" s="8"/>
    </row>
    <row r="90" spans="1:21" ht="15.75" customHeight="1" x14ac:dyDescent="0.25">
      <c r="A90" s="515"/>
      <c r="B90" s="504" t="s">
        <v>11</v>
      </c>
      <c r="C90" s="504"/>
      <c r="D90" s="504"/>
      <c r="E90" s="504"/>
      <c r="F90" s="504"/>
      <c r="H90" s="46" t="e">
        <f>COUNTIFS(tbl_cleaning[Housing Team],"HOUSING NORTH TEAM 1",#REF!,"&lt;&gt;NV")</f>
        <v>#REF!</v>
      </c>
      <c r="I90" s="10"/>
      <c r="J90" s="46" t="e" cm="1">
        <f t="array" ref="J90">SUM(COUNTIFS(tbl_cleaning[Housing Team],"HOUSING NORTH TEAM 1",#REF!,{"1","2","3","4"}))</f>
        <v>#REF!</v>
      </c>
      <c r="K90" s="10"/>
      <c r="L90" s="16" t="e">
        <f>J90/H90</f>
        <v>#REF!</v>
      </c>
      <c r="M90" s="10"/>
      <c r="N90" s="16">
        <f>$F$1</f>
        <v>1</v>
      </c>
      <c r="O90" s="8"/>
      <c r="P90" s="46" t="e">
        <f>COUNTIFS(tbl_cleaning[Housing Team],"HOUSING NORTH TEAM 1",#REF!,3)+COUNTIFS(tbl_cleaning[Housing Team],"HOUSING NORTH TEAM 1",#REF!,4)</f>
        <v>#REF!</v>
      </c>
      <c r="Q90" s="10"/>
      <c r="R90" s="16">
        <f t="shared" si="36"/>
        <v>0</v>
      </c>
      <c r="S90" s="10"/>
      <c r="T90" s="40">
        <f t="shared" si="37"/>
        <v>0.9</v>
      </c>
      <c r="U90" s="8"/>
    </row>
    <row r="91" spans="1:21" ht="15.75" customHeight="1" x14ac:dyDescent="0.25">
      <c r="A91" s="515"/>
      <c r="B91" s="504" t="s">
        <v>12</v>
      </c>
      <c r="C91" s="504"/>
      <c r="D91" s="504"/>
      <c r="E91" s="504"/>
      <c r="F91" s="504"/>
      <c r="H91" s="46" t="e">
        <f>COUNTIFS(#REF!,"HOUSING NORTH TEAM 1",#REF!,"&lt;&gt;NV")</f>
        <v>#REF!</v>
      </c>
      <c r="I91" s="10"/>
      <c r="J91" s="46" t="e">
        <f t="array" ref="J91">SUM(COUNTIFS(#REF!,"HOUSING NORTH TEAM 1",#REF!,{"1","2","3","4"}))</f>
        <v>#REF!</v>
      </c>
      <c r="K91" s="10"/>
      <c r="L91" s="16" t="e">
        <f>J91/H91</f>
        <v>#REF!</v>
      </c>
      <c r="M91" s="10"/>
      <c r="N91" s="16">
        <f>$F$1</f>
        <v>1</v>
      </c>
      <c r="O91" s="8"/>
      <c r="P91" s="46" t="e">
        <f>COUNTIFS(#REF!,"HOUSING NORTH TEAM 1",#REF!,3)+COUNTIFS(#REF!,"HOUSING NORTH TEAM 1",#REF!,4)</f>
        <v>#REF!</v>
      </c>
      <c r="Q91" s="10"/>
      <c r="R91" s="16">
        <f t="shared" si="36"/>
        <v>0</v>
      </c>
      <c r="S91" s="10"/>
      <c r="T91" s="40">
        <f t="shared" si="37"/>
        <v>0.9</v>
      </c>
      <c r="U91" s="8"/>
    </row>
    <row r="92" spans="1:21" ht="15.75" customHeight="1" x14ac:dyDescent="0.25">
      <c r="A92" s="516"/>
      <c r="B92" s="504" t="s">
        <v>13</v>
      </c>
      <c r="C92" s="504"/>
      <c r="D92" s="504"/>
      <c r="E92" s="504"/>
      <c r="F92" s="504"/>
      <c r="H92" s="46" t="e">
        <f>H89+H90+H91</f>
        <v>#REF!</v>
      </c>
      <c r="I92" s="10"/>
      <c r="J92" s="46" t="e">
        <f>SUM(J89:J91)</f>
        <v>#REF!</v>
      </c>
      <c r="K92" s="10"/>
      <c r="L92" s="16" t="e">
        <f>J92/H92</f>
        <v>#REF!</v>
      </c>
      <c r="M92" s="10"/>
      <c r="N92" s="16">
        <f>$F$1</f>
        <v>1</v>
      </c>
      <c r="O92" s="8"/>
      <c r="P92" s="46" t="e">
        <f>SUM(P89:P91)</f>
        <v>#REF!</v>
      </c>
      <c r="Q92" s="10"/>
      <c r="R92" s="16">
        <f t="shared" si="36"/>
        <v>0</v>
      </c>
      <c r="S92" s="10"/>
      <c r="T92" s="40">
        <f t="shared" si="37"/>
        <v>0.9</v>
      </c>
      <c r="U92" s="8"/>
    </row>
    <row r="93" spans="1:21" ht="15.75" customHeight="1" x14ac:dyDescent="0.25">
      <c r="H93"/>
      <c r="J93"/>
      <c r="P93"/>
    </row>
    <row r="94" spans="1:21" ht="15.75" customHeight="1" x14ac:dyDescent="0.25">
      <c r="A94" s="514" t="s">
        <v>1368</v>
      </c>
      <c r="B94" s="504" t="s">
        <v>10</v>
      </c>
      <c r="C94" s="504"/>
      <c r="D94" s="504"/>
      <c r="E94" s="504"/>
      <c r="F94" s="504"/>
      <c r="H94" s="46" t="e">
        <f>COUNTIFS(tbl_cleaning[Housing Team],"HOUSING NORTH TEAM 2",#REF!,"&lt;&gt;NV")</f>
        <v>#REF!</v>
      </c>
      <c r="I94" s="10"/>
      <c r="J94" s="46" t="e" cm="1">
        <f t="array" ref="J94">SUM(COUNTIFS(tbl_cleaning[Housing Team],"HOUSING NORTH TEAM 2",#REF!,{"1","2","3","4"}))</f>
        <v>#REF!</v>
      </c>
      <c r="K94" s="10"/>
      <c r="L94" s="16" t="e">
        <f>J94/H94</f>
        <v>#REF!</v>
      </c>
      <c r="M94" s="10"/>
      <c r="N94" s="16">
        <f>$F$1</f>
        <v>1</v>
      </c>
      <c r="O94" s="8"/>
      <c r="P94" s="46" t="e">
        <f>COUNTIFS(tbl_cleaning[Housing Team],"HOUSING NORTH TEAM 2",#REF!,3)+COUNTIFS(tbl_cleaning[Housing Team],"HOUSING NORTH TEAM 2",#REF!,4)</f>
        <v>#REF!</v>
      </c>
      <c r="Q94" s="10"/>
      <c r="R94" s="16">
        <f t="shared" ref="R94:R97" si="38">IFERROR(P94/J94,0)</f>
        <v>0</v>
      </c>
      <c r="S94" s="10"/>
      <c r="T94" s="40">
        <f t="shared" ref="T94:T97" si="39">$Q$1</f>
        <v>0.9</v>
      </c>
      <c r="U94" s="8"/>
    </row>
    <row r="95" spans="1:21" ht="15.75" customHeight="1" x14ac:dyDescent="0.25">
      <c r="A95" s="515"/>
      <c r="B95" s="504" t="s">
        <v>11</v>
      </c>
      <c r="C95" s="504"/>
      <c r="D95" s="504"/>
      <c r="E95" s="504"/>
      <c r="F95" s="504"/>
      <c r="H95" s="46" t="e">
        <f>COUNTIFS(tbl_cleaning[Housing Team],"HOUSING NORTH TEAM 2",#REF!,"&lt;&gt;NV")</f>
        <v>#REF!</v>
      </c>
      <c r="I95" s="10"/>
      <c r="J95" s="46" t="e" cm="1">
        <f t="array" ref="J95">SUM(COUNTIFS(tbl_cleaning[Housing Team],"HOUSING NORTH TEAM 2",#REF!,{"1","2","3","4"}))</f>
        <v>#REF!</v>
      </c>
      <c r="K95" s="10"/>
      <c r="L95" s="16" t="e">
        <f>J95/H95</f>
        <v>#REF!</v>
      </c>
      <c r="M95" s="10"/>
      <c r="N95" s="16">
        <f>$F$1</f>
        <v>1</v>
      </c>
      <c r="O95" s="8"/>
      <c r="P95" s="46" t="e">
        <f>COUNTIFS(tbl_cleaning[Housing Team],"HOUSING NORTH TEAM 2",#REF!,3)+COUNTIFS(tbl_cleaning[Housing Team],"HOUSING NORTH TEAM 2",#REF!,4)</f>
        <v>#REF!</v>
      </c>
      <c r="Q95" s="10"/>
      <c r="R95" s="16">
        <f t="shared" si="38"/>
        <v>0</v>
      </c>
      <c r="S95" s="10"/>
      <c r="T95" s="40">
        <f t="shared" si="39"/>
        <v>0.9</v>
      </c>
      <c r="U95" s="8"/>
    </row>
    <row r="96" spans="1:21" ht="15.75" customHeight="1" x14ac:dyDescent="0.25">
      <c r="A96" s="515"/>
      <c r="B96" s="504" t="s">
        <v>12</v>
      </c>
      <c r="C96" s="504"/>
      <c r="D96" s="504"/>
      <c r="E96" s="504"/>
      <c r="F96" s="504"/>
      <c r="H96" s="46" t="e">
        <f>COUNTIFS(#REF!,"HOUSING NORTH TEAM 2",#REF!,"&lt;&gt;NV")</f>
        <v>#REF!</v>
      </c>
      <c r="I96" s="10"/>
      <c r="J96" s="46" t="e">
        <f t="array" ref="J96">SUM(COUNTIFS(#REF!,"HOUSING NORTH TEAM 2",#REF!,{"1","2","3","4"}))</f>
        <v>#REF!</v>
      </c>
      <c r="K96" s="10"/>
      <c r="L96" s="16" t="e">
        <f>J96/H96</f>
        <v>#REF!</v>
      </c>
      <c r="M96" s="10"/>
      <c r="N96" s="16">
        <f>$F$1</f>
        <v>1</v>
      </c>
      <c r="O96" s="8"/>
      <c r="P96" s="46" t="e">
        <f>COUNTIFS(#REF!,"HOUSING NORTH TEAM 2",#REF!,3)+COUNTIFS(#REF!,"HOUSING NORTH TEAM 2",#REF!,4)</f>
        <v>#REF!</v>
      </c>
      <c r="Q96" s="10"/>
      <c r="R96" s="16">
        <f t="shared" si="38"/>
        <v>0</v>
      </c>
      <c r="S96" s="10"/>
      <c r="T96" s="40">
        <f t="shared" si="39"/>
        <v>0.9</v>
      </c>
      <c r="U96" s="8"/>
    </row>
    <row r="97" spans="1:21" ht="15.75" customHeight="1" x14ac:dyDescent="0.25">
      <c r="A97" s="516"/>
      <c r="B97" s="504" t="s">
        <v>13</v>
      </c>
      <c r="C97" s="504"/>
      <c r="D97" s="504"/>
      <c r="E97" s="504"/>
      <c r="F97" s="504"/>
      <c r="H97" s="46" t="e">
        <f>H94+H95+H96</f>
        <v>#REF!</v>
      </c>
      <c r="I97" s="10"/>
      <c r="J97" s="46" t="e">
        <f>SUM(J94:J96)</f>
        <v>#REF!</v>
      </c>
      <c r="K97" s="10"/>
      <c r="L97" s="16" t="e">
        <f>J97/H97</f>
        <v>#REF!</v>
      </c>
      <c r="M97" s="10"/>
      <c r="N97" s="16">
        <f>$F$1</f>
        <v>1</v>
      </c>
      <c r="O97" s="8"/>
      <c r="P97" s="46" t="e">
        <f>SUM(P94:P96)</f>
        <v>#REF!</v>
      </c>
      <c r="Q97" s="10"/>
      <c r="R97" s="16">
        <f t="shared" si="38"/>
        <v>0</v>
      </c>
      <c r="S97" s="10"/>
      <c r="T97" s="40">
        <f t="shared" si="39"/>
        <v>0.9</v>
      </c>
      <c r="U97" s="8"/>
    </row>
    <row r="98" spans="1:21" ht="15.75" customHeight="1" x14ac:dyDescent="0.25">
      <c r="H98"/>
      <c r="J98"/>
      <c r="P98"/>
    </row>
    <row r="99" spans="1:21" ht="15.75" customHeight="1" x14ac:dyDescent="0.25">
      <c r="A99" s="514" t="s">
        <v>1380</v>
      </c>
      <c r="B99" s="504" t="s">
        <v>10</v>
      </c>
      <c r="C99" s="504"/>
      <c r="D99" s="504"/>
      <c r="E99" s="504"/>
      <c r="F99" s="504"/>
      <c r="H99" s="46" t="e">
        <f>COUNTIFS(tbl_cleaning[Housing Team],"HOUSING NORTH TEAM 3",#REF!,"&lt;&gt;NV")</f>
        <v>#REF!</v>
      </c>
      <c r="I99" s="10"/>
      <c r="J99" s="46" t="e" cm="1">
        <f t="array" ref="J99">SUM(COUNTIFS(tbl_cleaning[Housing Team],"HOUSING NORTH TEAM 3",#REF!,{"1","2","3","4"}))</f>
        <v>#REF!</v>
      </c>
      <c r="K99" s="10"/>
      <c r="L99" s="16" t="e">
        <f>J99/H99</f>
        <v>#REF!</v>
      </c>
      <c r="M99" s="10"/>
      <c r="N99" s="16">
        <f>$F$1</f>
        <v>1</v>
      </c>
      <c r="O99" s="8"/>
      <c r="P99" s="46" t="e">
        <f>COUNTIFS(tbl_cleaning[Housing Team],"HOUSING NORTH TEAM 3",#REF!,3)+COUNTIFS(tbl_cleaning[Housing Team],"HOUSING NORTH TEAM 3",#REF!,4)</f>
        <v>#REF!</v>
      </c>
      <c r="Q99" s="10"/>
      <c r="R99" s="16">
        <f t="shared" ref="R99:R102" si="40">IFERROR(P99/J99,0)</f>
        <v>0</v>
      </c>
      <c r="S99" s="10"/>
      <c r="T99" s="40">
        <f t="shared" ref="T99:T102" si="41">$Q$1</f>
        <v>0.9</v>
      </c>
      <c r="U99" s="8"/>
    </row>
    <row r="100" spans="1:21" ht="15.75" customHeight="1" x14ac:dyDescent="0.25">
      <c r="A100" s="515"/>
      <c r="B100" s="504" t="s">
        <v>11</v>
      </c>
      <c r="C100" s="504"/>
      <c r="D100" s="504"/>
      <c r="E100" s="504"/>
      <c r="F100" s="504"/>
      <c r="H100" s="46" t="e">
        <f>COUNTIFS(tbl_cleaning[Housing Team],"HOUSING NORTH TEAM 3",#REF!,"&lt;&gt;NV")</f>
        <v>#REF!</v>
      </c>
      <c r="I100" s="10"/>
      <c r="J100" s="46" t="e" cm="1">
        <f t="array" ref="J100">SUM(COUNTIFS(tbl_cleaning[Housing Team],"HOUSING NORTH TEAM 3",#REF!,{"1","2","3","4"}))</f>
        <v>#REF!</v>
      </c>
      <c r="K100" s="10"/>
      <c r="L100" s="16" t="e">
        <f>J100/H100</f>
        <v>#REF!</v>
      </c>
      <c r="M100" s="10"/>
      <c r="N100" s="16">
        <f>$F$1</f>
        <v>1</v>
      </c>
      <c r="O100" s="8"/>
      <c r="P100" s="46" t="e">
        <f>COUNTIFS(tbl_cleaning[Housing Team],"HOUSING NORTH TEAM 3",#REF!,3)+COUNTIFS(tbl_cleaning[Housing Team],"HOUSING NORTH TEAM 3",#REF!,4)</f>
        <v>#REF!</v>
      </c>
      <c r="Q100" s="10"/>
      <c r="R100" s="16">
        <f t="shared" si="40"/>
        <v>0</v>
      </c>
      <c r="S100" s="10"/>
      <c r="T100" s="40">
        <f t="shared" si="41"/>
        <v>0.9</v>
      </c>
      <c r="U100" s="8"/>
    </row>
    <row r="101" spans="1:21" ht="15.75" customHeight="1" x14ac:dyDescent="0.25">
      <c r="A101" s="515"/>
      <c r="B101" s="504" t="s">
        <v>12</v>
      </c>
      <c r="C101" s="504"/>
      <c r="D101" s="504"/>
      <c r="E101" s="504"/>
      <c r="F101" s="504"/>
      <c r="H101" s="46" t="e">
        <f>COUNTIFS(#REF!,"HOUSING NORTH TEAM 3",#REF!,"&lt;&gt;NV")</f>
        <v>#REF!</v>
      </c>
      <c r="I101" s="10"/>
      <c r="J101" s="46" t="e">
        <f t="array" ref="J101">SUM(COUNTIFS(#REF!,"HOUSING NORTH TEAM 3",#REF!,{"1","2","3","4"}))</f>
        <v>#REF!</v>
      </c>
      <c r="K101" s="10"/>
      <c r="L101" s="16" t="e">
        <f>J101/H101</f>
        <v>#REF!</v>
      </c>
      <c r="M101" s="10"/>
      <c r="N101" s="16">
        <f>$F$1</f>
        <v>1</v>
      </c>
      <c r="O101" s="8"/>
      <c r="P101" s="46" t="e">
        <f>COUNTIFS(#REF!,"HOUSING NORTH TEAM 3",#REF!,3)+COUNTIFS(#REF!,"HOUSING NORTH TEAM 3",#REF!,4)</f>
        <v>#REF!</v>
      </c>
      <c r="Q101" s="10"/>
      <c r="R101" s="16">
        <f t="shared" si="40"/>
        <v>0</v>
      </c>
      <c r="S101" s="10"/>
      <c r="T101" s="40">
        <f t="shared" si="41"/>
        <v>0.9</v>
      </c>
      <c r="U101" s="8"/>
    </row>
    <row r="102" spans="1:21" ht="15.75" customHeight="1" x14ac:dyDescent="0.25">
      <c r="A102" s="516"/>
      <c r="B102" s="504" t="s">
        <v>13</v>
      </c>
      <c r="C102" s="504"/>
      <c r="D102" s="504"/>
      <c r="E102" s="504"/>
      <c r="F102" s="504"/>
      <c r="H102" s="46" t="e">
        <f>H99+H100+H101</f>
        <v>#REF!</v>
      </c>
      <c r="I102" s="10"/>
      <c r="J102" s="46" t="e">
        <f>SUM(J99:J101)</f>
        <v>#REF!</v>
      </c>
      <c r="K102" s="10"/>
      <c r="L102" s="16" t="e">
        <f>J102/H102</f>
        <v>#REF!</v>
      </c>
      <c r="M102" s="10"/>
      <c r="N102" s="16">
        <f>$F$1</f>
        <v>1</v>
      </c>
      <c r="O102" s="8"/>
      <c r="P102" s="46" t="e">
        <f>SUM(P99:P101)</f>
        <v>#REF!</v>
      </c>
      <c r="Q102" s="10"/>
      <c r="R102" s="16">
        <f t="shared" si="40"/>
        <v>0</v>
      </c>
      <c r="S102" s="10"/>
      <c r="T102" s="40">
        <f t="shared" si="41"/>
        <v>0.9</v>
      </c>
      <c r="U102" s="8"/>
    </row>
    <row r="103" spans="1:21" ht="15.75" customHeight="1" x14ac:dyDescent="0.25">
      <c r="H103"/>
      <c r="J103"/>
      <c r="P103"/>
    </row>
    <row r="104" spans="1:21" ht="15.75" customHeight="1" x14ac:dyDescent="0.25">
      <c r="A104" s="514" t="s">
        <v>1364</v>
      </c>
      <c r="B104" s="504" t="s">
        <v>10</v>
      </c>
      <c r="C104" s="504"/>
      <c r="D104" s="504"/>
      <c r="E104" s="504"/>
      <c r="F104" s="504"/>
      <c r="H104" s="46" t="e">
        <f>COUNTIFS(tbl_cleaning[Housing Team],"HOUSING NORTH TEAM 4",#REF!,"&lt;&gt;NV")</f>
        <v>#REF!</v>
      </c>
      <c r="I104" s="10"/>
      <c r="J104" s="46" t="e" cm="1">
        <f t="array" ref="J104">SUM(COUNTIFS(tbl_cleaning[Housing Team],"HOUSING NORTH TEAM 4",#REF!,{"1","2","3","4"}))</f>
        <v>#REF!</v>
      </c>
      <c r="K104" s="10"/>
      <c r="L104" s="16" t="e">
        <f>J104/H104</f>
        <v>#REF!</v>
      </c>
      <c r="M104" s="10"/>
      <c r="N104" s="16">
        <f>$F$1</f>
        <v>1</v>
      </c>
      <c r="O104" s="8"/>
      <c r="P104" s="46" t="e">
        <f>COUNTIFS(tbl_cleaning[Housing Team],"HOUSING NORTH TEAM 4",#REF!,3)+COUNTIFS(tbl_cleaning[Housing Team],"HOUSING NORTH TEAM 4",#REF!,4)</f>
        <v>#REF!</v>
      </c>
      <c r="Q104" s="10"/>
      <c r="R104" s="16">
        <f t="shared" ref="R104:R107" si="42">IFERROR(P104/J104,0)</f>
        <v>0</v>
      </c>
      <c r="S104" s="10"/>
      <c r="T104" s="40">
        <f t="shared" ref="T104:T107" si="43">$Q$1</f>
        <v>0.9</v>
      </c>
      <c r="U104" s="8"/>
    </row>
    <row r="105" spans="1:21" ht="15.75" customHeight="1" x14ac:dyDescent="0.25">
      <c r="A105" s="515"/>
      <c r="B105" s="504" t="s">
        <v>11</v>
      </c>
      <c r="C105" s="504"/>
      <c r="D105" s="504"/>
      <c r="E105" s="504"/>
      <c r="F105" s="504"/>
      <c r="H105" s="46" t="e">
        <f>COUNTIFS(tbl_cleaning[Housing Team],"HOUSING NORTH TEAM 4",#REF!,"&lt;&gt;NV")</f>
        <v>#REF!</v>
      </c>
      <c r="I105" s="10"/>
      <c r="J105" s="46" t="e" cm="1">
        <f t="array" ref="J105">SUM(COUNTIFS(tbl_cleaning[Housing Team],"HOUSING NORTH TEAM 4",#REF!,{"1","2","3","4"}))</f>
        <v>#REF!</v>
      </c>
      <c r="K105" s="10"/>
      <c r="L105" s="16" t="e">
        <f>J105/H105</f>
        <v>#REF!</v>
      </c>
      <c r="M105" s="10"/>
      <c r="N105" s="16">
        <f>$F$1</f>
        <v>1</v>
      </c>
      <c r="O105" s="8"/>
      <c r="P105" s="46" t="e">
        <f>COUNTIFS(tbl_cleaning[Housing Team],"HOUSING NORTH TEAM 4",#REF!,3)+COUNTIFS(tbl_cleaning[Housing Team],"HOUSING NORTH TEAM 4",#REF!,4)</f>
        <v>#REF!</v>
      </c>
      <c r="Q105" s="10"/>
      <c r="R105" s="16">
        <f t="shared" si="42"/>
        <v>0</v>
      </c>
      <c r="S105" s="10"/>
      <c r="T105" s="40">
        <f t="shared" si="43"/>
        <v>0.9</v>
      </c>
      <c r="U105" s="8"/>
    </row>
    <row r="106" spans="1:21" ht="15.75" customHeight="1" x14ac:dyDescent="0.25">
      <c r="A106" s="515"/>
      <c r="B106" s="504" t="s">
        <v>12</v>
      </c>
      <c r="C106" s="504"/>
      <c r="D106" s="504"/>
      <c r="E106" s="504"/>
      <c r="F106" s="504"/>
      <c r="H106" s="46" t="e">
        <f>COUNTIFS(#REF!,"HOUSING NORTH TEAM 4",#REF!,"&lt;&gt;NV")</f>
        <v>#REF!</v>
      </c>
      <c r="I106" s="10"/>
      <c r="J106" s="46" t="e">
        <f t="array" ref="J106">SUM(COUNTIFS(#REF!,"HOUSING NORTH TEAM 4",#REF!,{"1","2","3","4"}))</f>
        <v>#REF!</v>
      </c>
      <c r="K106" s="10"/>
      <c r="L106" s="16" t="e">
        <f>J106/H106</f>
        <v>#REF!</v>
      </c>
      <c r="M106" s="10"/>
      <c r="N106" s="16">
        <f>$F$1</f>
        <v>1</v>
      </c>
      <c r="O106" s="8"/>
      <c r="P106" s="46" t="e">
        <f>COUNTIFS(#REF!,"HOUSING NORTH TEAM 4",#REF!,3)+COUNTIFS(#REF!,"HOUSING NORTH TEAM 4",#REF!,4)</f>
        <v>#REF!</v>
      </c>
      <c r="Q106" s="10"/>
      <c r="R106" s="16">
        <f t="shared" si="42"/>
        <v>0</v>
      </c>
      <c r="S106" s="10"/>
      <c r="T106" s="40">
        <f t="shared" si="43"/>
        <v>0.9</v>
      </c>
      <c r="U106" s="8"/>
    </row>
    <row r="107" spans="1:21" ht="15.75" customHeight="1" x14ac:dyDescent="0.25">
      <c r="A107" s="516"/>
      <c r="B107" s="504" t="s">
        <v>13</v>
      </c>
      <c r="C107" s="504"/>
      <c r="D107" s="504"/>
      <c r="E107" s="504"/>
      <c r="F107" s="504"/>
      <c r="H107" s="46" t="e">
        <f>H104+H105+H106</f>
        <v>#REF!</v>
      </c>
      <c r="I107" s="10"/>
      <c r="J107" s="46" t="e">
        <f>SUM(J104:J106)</f>
        <v>#REF!</v>
      </c>
      <c r="K107" s="10"/>
      <c r="L107" s="16" t="e">
        <f>J107/H107</f>
        <v>#REF!</v>
      </c>
      <c r="M107" s="10"/>
      <c r="N107" s="16">
        <f>$F$1</f>
        <v>1</v>
      </c>
      <c r="O107" s="8"/>
      <c r="P107" s="46" t="e">
        <f>SUM(P104:P106)</f>
        <v>#REF!</v>
      </c>
      <c r="Q107" s="10"/>
      <c r="R107" s="16">
        <f t="shared" si="42"/>
        <v>0</v>
      </c>
      <c r="S107" s="10"/>
      <c r="T107" s="40">
        <f t="shared" si="43"/>
        <v>0.9</v>
      </c>
      <c r="U107" s="8"/>
    </row>
    <row r="108" spans="1:21" ht="15.75" customHeight="1" x14ac:dyDescent="0.25">
      <c r="H108"/>
      <c r="J108"/>
      <c r="P108"/>
    </row>
    <row r="109" spans="1:21" ht="15.75" customHeight="1" x14ac:dyDescent="0.25">
      <c r="A109" s="514" t="s">
        <v>1375</v>
      </c>
      <c r="B109" s="504" t="s">
        <v>10</v>
      </c>
      <c r="C109" s="504"/>
      <c r="D109" s="504"/>
      <c r="E109" s="504"/>
      <c r="F109" s="504"/>
      <c r="H109" s="46" t="e">
        <f>COUNTIFS(tbl_cleaning[Housing Team],"HOUSING NORTH TEAM 5",#REF!,"&lt;&gt;NV")</f>
        <v>#REF!</v>
      </c>
      <c r="I109" s="10"/>
      <c r="J109" s="46" t="e" cm="1">
        <f t="array" ref="J109">SUM(COUNTIFS(tbl_cleaning[Housing Team],"HOUSING NORTH TEAM 5",#REF!,{"1","2","3","4"}))</f>
        <v>#REF!</v>
      </c>
      <c r="K109" s="10"/>
      <c r="L109" s="16" t="e">
        <f>J109/H109</f>
        <v>#REF!</v>
      </c>
      <c r="M109" s="10"/>
      <c r="N109" s="16">
        <f>$F$1</f>
        <v>1</v>
      </c>
      <c r="O109" s="8"/>
      <c r="P109" s="46" t="e">
        <f>COUNTIFS(tbl_cleaning[Housing Team],"HOUSING NORTH TEAM 5",#REF!,3)+COUNTIFS(tbl_cleaning[Housing Team],"HOUSING NORTH TEAM 5",#REF!,4)</f>
        <v>#REF!</v>
      </c>
      <c r="Q109" s="10"/>
      <c r="R109" s="16">
        <f t="shared" ref="R109:R112" si="44">IFERROR(P109/J109,0)</f>
        <v>0</v>
      </c>
      <c r="S109" s="10"/>
      <c r="T109" s="40">
        <f t="shared" ref="T109:T112" si="45">$Q$1</f>
        <v>0.9</v>
      </c>
      <c r="U109" s="8"/>
    </row>
    <row r="110" spans="1:21" ht="15.75" customHeight="1" x14ac:dyDescent="0.25">
      <c r="A110" s="515"/>
      <c r="B110" s="504" t="s">
        <v>11</v>
      </c>
      <c r="C110" s="504"/>
      <c r="D110" s="504"/>
      <c r="E110" s="504"/>
      <c r="F110" s="504"/>
      <c r="H110" s="46" t="e">
        <f>COUNTIFS(tbl_cleaning[Housing Team],"HOUSING NORTH TEAM 5",#REF!,"&lt;&gt;NV")</f>
        <v>#REF!</v>
      </c>
      <c r="I110" s="10"/>
      <c r="J110" s="46" t="e" cm="1">
        <f t="array" ref="J110">SUM(COUNTIFS(tbl_cleaning[Housing Team],"HOUSING NORTH TEAM 5",#REF!,{"1","2","3","4"}))</f>
        <v>#REF!</v>
      </c>
      <c r="K110" s="10"/>
      <c r="L110" s="16" t="e">
        <f>J110/H110</f>
        <v>#REF!</v>
      </c>
      <c r="M110" s="10"/>
      <c r="N110" s="16">
        <f>$F$1</f>
        <v>1</v>
      </c>
      <c r="O110" s="8"/>
      <c r="P110" s="46" t="e">
        <f>COUNTIFS(tbl_cleaning[Housing Team],"HOUSING NORTH TEAM 5",#REF!,3)+COUNTIFS(tbl_cleaning[Housing Team],"HOUSING NORTH TEAM 5",#REF!,4)</f>
        <v>#REF!</v>
      </c>
      <c r="Q110" s="10"/>
      <c r="R110" s="16">
        <f t="shared" si="44"/>
        <v>0</v>
      </c>
      <c r="S110" s="10"/>
      <c r="T110" s="40">
        <f t="shared" si="45"/>
        <v>0.9</v>
      </c>
      <c r="U110" s="8"/>
    </row>
    <row r="111" spans="1:21" ht="15.75" customHeight="1" x14ac:dyDescent="0.25">
      <c r="A111" s="515"/>
      <c r="B111" s="504" t="s">
        <v>12</v>
      </c>
      <c r="C111" s="504"/>
      <c r="D111" s="504"/>
      <c r="E111" s="504"/>
      <c r="F111" s="504"/>
      <c r="H111" s="46" t="e">
        <f>COUNTIFS(#REF!,"HOUSING NORTH TEAM 5",#REF!,"&lt;&gt;NV")</f>
        <v>#REF!</v>
      </c>
      <c r="I111" s="10"/>
      <c r="J111" s="46" t="e">
        <f t="array" ref="J111">SUM(COUNTIFS(#REF!,"HOUSING NORTH TEAM 5",#REF!,{"1","2","3","4"}))</f>
        <v>#REF!</v>
      </c>
      <c r="K111" s="10"/>
      <c r="L111" s="16" t="e">
        <f>J111/H111</f>
        <v>#REF!</v>
      </c>
      <c r="M111" s="10"/>
      <c r="N111" s="16">
        <f>$F$1</f>
        <v>1</v>
      </c>
      <c r="O111" s="8"/>
      <c r="P111" s="46" t="e">
        <f>COUNTIFS(#REF!,"HOUSING NORTH TEAM 5",#REF!,3)+COUNTIFS(#REF!,"HOUSING NORTH TEAM 5",#REF!,4)</f>
        <v>#REF!</v>
      </c>
      <c r="Q111" s="10"/>
      <c r="R111" s="16">
        <f t="shared" si="44"/>
        <v>0</v>
      </c>
      <c r="S111" s="10"/>
      <c r="T111" s="40">
        <f t="shared" si="45"/>
        <v>0.9</v>
      </c>
      <c r="U111" s="8"/>
    </row>
    <row r="112" spans="1:21" ht="15.75" customHeight="1" x14ac:dyDescent="0.25">
      <c r="A112" s="516"/>
      <c r="B112" s="504" t="s">
        <v>13</v>
      </c>
      <c r="C112" s="504"/>
      <c r="D112" s="504"/>
      <c r="E112" s="504"/>
      <c r="F112" s="504"/>
      <c r="H112" s="46" t="e">
        <f>H109+H110+H111</f>
        <v>#REF!</v>
      </c>
      <c r="I112" s="10"/>
      <c r="J112" s="46" t="e">
        <f>SUM(J109:J111)</f>
        <v>#REF!</v>
      </c>
      <c r="K112" s="10"/>
      <c r="L112" s="16" t="e">
        <f>J112/H112</f>
        <v>#REF!</v>
      </c>
      <c r="M112" s="10"/>
      <c r="N112" s="16">
        <f>$F$1</f>
        <v>1</v>
      </c>
      <c r="O112" s="8"/>
      <c r="P112" s="46" t="e">
        <f>SUM(P109:P111)</f>
        <v>#REF!</v>
      </c>
      <c r="Q112" s="10"/>
      <c r="R112" s="16">
        <f t="shared" si="44"/>
        <v>0</v>
      </c>
      <c r="S112" s="10"/>
      <c r="T112" s="40">
        <f t="shared" si="45"/>
        <v>0.9</v>
      </c>
      <c r="U112" s="8"/>
    </row>
    <row r="113" spans="1:21" ht="15.75" customHeight="1" x14ac:dyDescent="0.25">
      <c r="H113"/>
      <c r="J113"/>
      <c r="P113"/>
    </row>
    <row r="114" spans="1:21" ht="15.75" customHeight="1" x14ac:dyDescent="0.25">
      <c r="A114" s="514" t="s">
        <v>1376</v>
      </c>
      <c r="B114" s="504" t="s">
        <v>10</v>
      </c>
      <c r="C114" s="504"/>
      <c r="D114" s="504"/>
      <c r="E114" s="504"/>
      <c r="F114" s="504"/>
      <c r="G114" t="s">
        <v>3</v>
      </c>
      <c r="H114" s="46" t="e">
        <f>COUNTIFS(tbl_cleaning[Housing Team],"HOUSING NORTH TEAM 6",#REF!,"&lt;&gt;NV")</f>
        <v>#REF!</v>
      </c>
      <c r="I114" s="10"/>
      <c r="J114" s="46" t="e" cm="1">
        <f t="array" ref="J114">SUM(COUNTIFS(tbl_cleaning[Housing Team],"HOUSING NORTH TEAM 6",#REF!,{"1","2","3","4"}))</f>
        <v>#REF!</v>
      </c>
      <c r="K114" s="10"/>
      <c r="L114" s="16" t="e">
        <f>J114/H114</f>
        <v>#REF!</v>
      </c>
      <c r="M114" s="10"/>
      <c r="N114" s="16">
        <f>$F$1</f>
        <v>1</v>
      </c>
      <c r="O114" s="8"/>
      <c r="P114" s="46" t="e">
        <f>COUNTIFS(tbl_cleaning[Housing Team],"HOUSING NORTH TEAM 6",#REF!,3)+COUNTIFS(tbl_cleaning[Housing Team],"HOUSING NORTH TEAM 6",#REF!,4)</f>
        <v>#REF!</v>
      </c>
      <c r="Q114" s="10"/>
      <c r="R114" s="16">
        <f t="shared" ref="R114:R117" si="46">IFERROR(P114/J114,0)</f>
        <v>0</v>
      </c>
      <c r="S114" s="10"/>
      <c r="T114" s="40">
        <f t="shared" ref="T114:T117" si="47">$Q$1</f>
        <v>0.9</v>
      </c>
      <c r="U114" s="8"/>
    </row>
    <row r="115" spans="1:21" ht="15.75" customHeight="1" x14ac:dyDescent="0.25">
      <c r="A115" s="515"/>
      <c r="B115" s="504" t="s">
        <v>11</v>
      </c>
      <c r="C115" s="504"/>
      <c r="D115" s="504"/>
      <c r="E115" s="504"/>
      <c r="F115" s="504"/>
      <c r="H115" s="46" t="e">
        <f>COUNTIFS(tbl_cleaning[Housing Team],"HOUSING NORTH TEAM 6",#REF!,"&lt;&gt;NV")</f>
        <v>#REF!</v>
      </c>
      <c r="I115" s="10"/>
      <c r="J115" s="46" t="e" cm="1">
        <f t="array" ref="J115">SUM(COUNTIFS(tbl_cleaning[Housing Team],"HOUSING NORTH TEAM 6",#REF!,{"1","2","3","4"}))</f>
        <v>#REF!</v>
      </c>
      <c r="K115" s="10"/>
      <c r="L115" s="16" t="e">
        <f>J115/H115</f>
        <v>#REF!</v>
      </c>
      <c r="M115" s="10"/>
      <c r="N115" s="16">
        <f>$F$1</f>
        <v>1</v>
      </c>
      <c r="O115" s="8"/>
      <c r="P115" s="46" t="e">
        <f>COUNTIFS(tbl_cleaning[Housing Team],"HOUSING NORTH TEAM 6",#REF!,3)+COUNTIFS(tbl_cleaning[Housing Team],"HOUSING NORTH TEAM 6",#REF!,4)</f>
        <v>#REF!</v>
      </c>
      <c r="Q115" s="10"/>
      <c r="R115" s="16">
        <f t="shared" si="46"/>
        <v>0</v>
      </c>
      <c r="S115" s="10"/>
      <c r="T115" s="40">
        <f t="shared" si="47"/>
        <v>0.9</v>
      </c>
      <c r="U115" s="8"/>
    </row>
    <row r="116" spans="1:21" ht="15.75" customHeight="1" x14ac:dyDescent="0.25">
      <c r="A116" s="515"/>
      <c r="B116" s="504" t="s">
        <v>12</v>
      </c>
      <c r="C116" s="504"/>
      <c r="D116" s="504"/>
      <c r="E116" s="504"/>
      <c r="F116" s="504"/>
      <c r="H116" s="46" t="e">
        <f>COUNTIFS(#REF!,"HOUSING NORTH TEAM 6",#REF!,"&lt;&gt;NV")</f>
        <v>#REF!</v>
      </c>
      <c r="I116" s="10"/>
      <c r="J116" s="46" t="e">
        <f t="array" ref="J116">SUM(COUNTIFS(#REF!,"HOUSING NORTH TEAM 6",#REF!,{"1","2","3","4"}))</f>
        <v>#REF!</v>
      </c>
      <c r="K116" s="10"/>
      <c r="L116" s="16" t="e">
        <f>J116/H116</f>
        <v>#REF!</v>
      </c>
      <c r="M116" s="10"/>
      <c r="N116" s="16">
        <f>$F$1</f>
        <v>1</v>
      </c>
      <c r="O116" s="8"/>
      <c r="P116" s="46" t="e">
        <f>COUNTIFS(#REF!,"HOUSING NORTH TEAM 6",#REF!,3)+COUNTIFS(#REF!,"HOUSING NORTH TEAM 6",#REF!,4)</f>
        <v>#REF!</v>
      </c>
      <c r="Q116" s="10"/>
      <c r="R116" s="16">
        <f t="shared" si="46"/>
        <v>0</v>
      </c>
      <c r="S116" s="10"/>
      <c r="T116" s="40">
        <f t="shared" si="47"/>
        <v>0.9</v>
      </c>
      <c r="U116" s="8"/>
    </row>
    <row r="117" spans="1:21" ht="15.75" customHeight="1" x14ac:dyDescent="0.25">
      <c r="A117" s="516"/>
      <c r="B117" s="504" t="s">
        <v>13</v>
      </c>
      <c r="C117" s="504"/>
      <c r="D117" s="504"/>
      <c r="E117" s="504"/>
      <c r="F117" s="504"/>
      <c r="H117" s="46" t="e">
        <f>H114+H115+H116</f>
        <v>#REF!</v>
      </c>
      <c r="I117" s="10"/>
      <c r="J117" s="46" t="e">
        <f>SUM(J114:J116)</f>
        <v>#REF!</v>
      </c>
      <c r="K117" s="10"/>
      <c r="L117" s="16" t="e">
        <f>J117/H117</f>
        <v>#REF!</v>
      </c>
      <c r="M117" s="10"/>
      <c r="N117" s="16">
        <f>$F$1</f>
        <v>1</v>
      </c>
      <c r="O117" s="8"/>
      <c r="P117" s="46" t="e">
        <f>SUM(P114:P116)</f>
        <v>#REF!</v>
      </c>
      <c r="Q117" s="10"/>
      <c r="R117" s="16">
        <f t="shared" si="46"/>
        <v>0</v>
      </c>
      <c r="S117" s="10"/>
      <c r="T117" s="40">
        <f t="shared" si="47"/>
        <v>0.9</v>
      </c>
      <c r="U117" s="8"/>
    </row>
    <row r="118" spans="1:21" ht="15.75" customHeight="1" x14ac:dyDescent="0.25">
      <c r="H118"/>
      <c r="J118"/>
      <c r="P118"/>
    </row>
    <row r="119" spans="1:21" ht="15.75" customHeight="1" x14ac:dyDescent="0.25">
      <c r="A119" s="514" t="s">
        <v>1381</v>
      </c>
      <c r="B119" s="504" t="s">
        <v>10</v>
      </c>
      <c r="C119" s="504"/>
      <c r="D119" s="504"/>
      <c r="E119" s="504"/>
      <c r="F119" s="504"/>
      <c r="H119" s="46" t="e">
        <f>COUNTIFS(tbl_cleaning[Housing Team],"HOUSING NORTH TEAM 7",#REF!,"&lt;&gt;NV")</f>
        <v>#REF!</v>
      </c>
      <c r="I119" s="10"/>
      <c r="J119" s="46" t="e" cm="1">
        <f t="array" ref="J119">SUM(COUNTIFS(tbl_cleaning[Housing Team],"HOUSING NORTH TEAM 7",#REF!,{"1","2","3","4"}))</f>
        <v>#REF!</v>
      </c>
      <c r="K119" s="10"/>
      <c r="L119" s="16" t="e">
        <f>J119/H119</f>
        <v>#REF!</v>
      </c>
      <c r="M119" s="10"/>
      <c r="N119" s="16">
        <f>$F$1</f>
        <v>1</v>
      </c>
      <c r="O119" s="8"/>
      <c r="P119" s="46" t="e">
        <f>COUNTIFS(tbl_cleaning[Housing Team],"HOUSING NORTH TEAM 7",#REF!,3)+COUNTIFS(tbl_cleaning[Housing Team],"HOUSING NORTH TEAM 7",#REF!,4)</f>
        <v>#REF!</v>
      </c>
      <c r="Q119" s="10"/>
      <c r="R119" s="16">
        <f t="shared" ref="R119:R122" si="48">IFERROR(P119/J119,0)</f>
        <v>0</v>
      </c>
      <c r="S119" s="10"/>
      <c r="T119" s="40">
        <f t="shared" ref="T119:T122" si="49">$Q$1</f>
        <v>0.9</v>
      </c>
      <c r="U119" s="8"/>
    </row>
    <row r="120" spans="1:21" ht="15.75" customHeight="1" x14ac:dyDescent="0.25">
      <c r="A120" s="515"/>
      <c r="B120" s="504" t="s">
        <v>11</v>
      </c>
      <c r="C120" s="504"/>
      <c r="D120" s="504"/>
      <c r="E120" s="504"/>
      <c r="F120" s="504"/>
      <c r="H120" s="46" t="e">
        <f>COUNTIFS(tbl_cleaning[Housing Team],"HOUSING NORTH TEAM 7",#REF!,"&lt;&gt;NV")</f>
        <v>#REF!</v>
      </c>
      <c r="I120" s="10"/>
      <c r="J120" s="46" t="e" cm="1">
        <f t="array" ref="J120">SUM(COUNTIFS(tbl_cleaning[Housing Team],"HOUSING NORTH TEAM 7",#REF!,{"1","2","3","4"}))</f>
        <v>#REF!</v>
      </c>
      <c r="K120" s="10"/>
      <c r="L120" s="16" t="e">
        <f>J120/H120</f>
        <v>#REF!</v>
      </c>
      <c r="M120" s="10"/>
      <c r="N120" s="16">
        <f>$F$1</f>
        <v>1</v>
      </c>
      <c r="O120" s="8"/>
      <c r="P120" s="46" t="e">
        <f>COUNTIFS(tbl_cleaning[Housing Team],"HOUSING NORTH TEAM 7",#REF!,3)+COUNTIFS(tbl_cleaning[Housing Team],"HOUSING NORTH TEAM 7",#REF!,4)</f>
        <v>#REF!</v>
      </c>
      <c r="Q120" s="10"/>
      <c r="R120" s="16">
        <f t="shared" si="48"/>
        <v>0</v>
      </c>
      <c r="S120" s="10"/>
      <c r="T120" s="40">
        <f t="shared" si="49"/>
        <v>0.9</v>
      </c>
      <c r="U120" s="8"/>
    </row>
    <row r="121" spans="1:21" ht="15.75" customHeight="1" x14ac:dyDescent="0.25">
      <c r="A121" s="515"/>
      <c r="B121" s="504" t="s">
        <v>12</v>
      </c>
      <c r="C121" s="504"/>
      <c r="D121" s="504"/>
      <c r="E121" s="504"/>
      <c r="F121" s="504"/>
      <c r="H121" s="46" t="e">
        <f>COUNTIFS(#REF!,"HOUSING NORTH TEAM 7",#REF!,"&lt;&gt;NV")</f>
        <v>#REF!</v>
      </c>
      <c r="I121" s="10"/>
      <c r="J121" s="46" t="e">
        <f t="array" ref="J121">SUM(COUNTIFS(#REF!,"HOUSING NORTH TEAM 7",#REF!,{"1","2","3","4"}))</f>
        <v>#REF!</v>
      </c>
      <c r="K121" s="10"/>
      <c r="L121" s="16" t="e">
        <f>J121/H121</f>
        <v>#REF!</v>
      </c>
      <c r="M121" s="10"/>
      <c r="N121" s="16">
        <f>$F$1</f>
        <v>1</v>
      </c>
      <c r="O121" s="8"/>
      <c r="P121" s="46" t="e">
        <f>COUNTIFS(#REF!,"HOUSING NORTH TEAM 7",#REF!,3)+COUNTIFS(#REF!,"HOUSING NORTH TEAM 7",#REF!,4)</f>
        <v>#REF!</v>
      </c>
      <c r="Q121" s="10"/>
      <c r="R121" s="16">
        <f t="shared" si="48"/>
        <v>0</v>
      </c>
      <c r="S121" s="10"/>
      <c r="T121" s="40">
        <f t="shared" si="49"/>
        <v>0.9</v>
      </c>
      <c r="U121" s="8"/>
    </row>
    <row r="122" spans="1:21" ht="15.75" customHeight="1" x14ac:dyDescent="0.25">
      <c r="A122" s="516"/>
      <c r="B122" s="504" t="s">
        <v>13</v>
      </c>
      <c r="C122" s="504"/>
      <c r="D122" s="504"/>
      <c r="E122" s="504"/>
      <c r="F122" s="504"/>
      <c r="H122" s="46" t="e">
        <f>H119+H120+H121</f>
        <v>#REF!</v>
      </c>
      <c r="I122" s="10"/>
      <c r="J122" s="46" t="e">
        <f>SUM(J119:J121)</f>
        <v>#REF!</v>
      </c>
      <c r="K122" s="10"/>
      <c r="L122" s="16" t="e">
        <f>J122/H122</f>
        <v>#REF!</v>
      </c>
      <c r="M122" s="10"/>
      <c r="N122" s="16">
        <f>$F$1</f>
        <v>1</v>
      </c>
      <c r="O122" s="8"/>
      <c r="P122" s="46" t="e">
        <f>SUM(P119:P121)</f>
        <v>#REF!</v>
      </c>
      <c r="Q122" s="10"/>
      <c r="R122" s="16">
        <f t="shared" si="48"/>
        <v>0</v>
      </c>
      <c r="S122" s="10"/>
      <c r="T122" s="40">
        <f t="shared" si="49"/>
        <v>0.9</v>
      </c>
      <c r="U122" s="8"/>
    </row>
    <row r="123" spans="1:21" ht="15.75" customHeight="1" x14ac:dyDescent="0.25">
      <c r="H123"/>
      <c r="J123"/>
      <c r="P123"/>
    </row>
    <row r="124" spans="1:21" ht="15.75" customHeight="1" x14ac:dyDescent="0.25">
      <c r="A124" s="505" t="s">
        <v>1373</v>
      </c>
      <c r="B124" s="504" t="s">
        <v>10</v>
      </c>
      <c r="C124" s="504"/>
      <c r="D124" s="504"/>
      <c r="E124" s="504"/>
      <c r="F124" s="504"/>
      <c r="G124" t="s">
        <v>3</v>
      </c>
      <c r="H124" s="46" t="e">
        <f>COUNTIFS(tbl_cleaning[Housing Team],"HOUSING SOUTH TEAM 1",#REF!,"&lt;&gt;NV")</f>
        <v>#REF!</v>
      </c>
      <c r="I124" s="10"/>
      <c r="J124" s="46" t="e" cm="1">
        <f t="array" ref="J124">SUM(COUNTIFS(tbl_cleaning[Housing Team],"HOUSING SOUTH TEAM 1",#REF!,{"1","2","3","4"}))</f>
        <v>#REF!</v>
      </c>
      <c r="K124" s="10"/>
      <c r="L124" s="16" t="e">
        <f>J124/H124</f>
        <v>#REF!</v>
      </c>
      <c r="M124" s="10"/>
      <c r="N124" s="16">
        <f>$F$1</f>
        <v>1</v>
      </c>
      <c r="O124" s="8"/>
      <c r="P124" s="46" t="e">
        <f>COUNTIFS(tbl_cleaning[Housing Team],"HOUSING SOUTH TEAM 1",#REF!,3)+COUNTIFS(tbl_cleaning[Housing Team],"HOUSING SOUTH TEAM 1",#REF!,4)</f>
        <v>#REF!</v>
      </c>
      <c r="Q124" s="10"/>
      <c r="R124" s="16">
        <f t="shared" ref="R124:R127" si="50">IFERROR(P124/J124,0)</f>
        <v>0</v>
      </c>
      <c r="S124" s="10"/>
      <c r="T124" s="40">
        <f t="shared" ref="T124:T127" si="51">$Q$1</f>
        <v>0.9</v>
      </c>
      <c r="U124" s="8"/>
    </row>
    <row r="125" spans="1:21" ht="15.75" customHeight="1" x14ac:dyDescent="0.25">
      <c r="A125" s="529"/>
      <c r="B125" s="504" t="s">
        <v>11</v>
      </c>
      <c r="C125" s="504"/>
      <c r="D125" s="504"/>
      <c r="E125" s="504"/>
      <c r="F125" s="504"/>
      <c r="H125" s="46" t="e">
        <f>COUNTIFS(tbl_cleaning[Housing Team],"HOUSING SOUTH TEAM 1",#REF!,"&lt;&gt;NV")</f>
        <v>#REF!</v>
      </c>
      <c r="I125" s="10"/>
      <c r="J125" s="46" t="e" cm="1">
        <f t="array" ref="J125">SUM(COUNTIFS(tbl_cleaning[Housing Team],"HOUSING SOUTH TEAM 1",#REF!,{"1","2","3","4"}))</f>
        <v>#REF!</v>
      </c>
      <c r="K125" s="10"/>
      <c r="L125" s="16" t="e">
        <f>J125/H125</f>
        <v>#REF!</v>
      </c>
      <c r="M125" s="10"/>
      <c r="N125" s="16">
        <f>$F$1</f>
        <v>1</v>
      </c>
      <c r="O125" s="8"/>
      <c r="P125" s="46" t="e">
        <f>COUNTIFS(tbl_cleaning[Housing Team],"HOUSING SOUTH TEAM 1",#REF!,3)+COUNTIFS(tbl_cleaning[Housing Team],"HOUSING SOUTH TEAM 1",#REF!,4)</f>
        <v>#REF!</v>
      </c>
      <c r="Q125" s="10"/>
      <c r="R125" s="16">
        <f t="shared" si="50"/>
        <v>0</v>
      </c>
      <c r="S125" s="10"/>
      <c r="T125" s="40">
        <f t="shared" si="51"/>
        <v>0.9</v>
      </c>
      <c r="U125" s="8"/>
    </row>
    <row r="126" spans="1:21" ht="15.75" customHeight="1" x14ac:dyDescent="0.25">
      <c r="A126" s="529"/>
      <c r="B126" s="504" t="s">
        <v>12</v>
      </c>
      <c r="C126" s="504"/>
      <c r="D126" s="504"/>
      <c r="E126" s="504"/>
      <c r="F126" s="504"/>
      <c r="H126" s="46" t="e">
        <f>COUNTIFS(#REF!,"HOUSING SOUTH TEAM 1",#REF!,"&lt;&gt;NV")</f>
        <v>#REF!</v>
      </c>
      <c r="I126" s="10"/>
      <c r="J126" s="46" t="e">
        <f t="array" ref="J126">SUM(COUNTIFS(#REF!,"HOUSING SOUTH TEAM 1",#REF!,{"1","2","3","4"}))</f>
        <v>#REF!</v>
      </c>
      <c r="K126" s="10"/>
      <c r="L126" s="16" t="e">
        <f>J126/H126</f>
        <v>#REF!</v>
      </c>
      <c r="M126" s="10"/>
      <c r="N126" s="16">
        <f>$F$1</f>
        <v>1</v>
      </c>
      <c r="O126" s="8"/>
      <c r="P126" s="46" t="e">
        <f>COUNTIFS(#REF!,"HOUSING SOUTH TEAM 1",#REF!,3)+COUNTIFS(#REF!,"HOUSING SOUTH TEAM 1",#REF!,4)</f>
        <v>#REF!</v>
      </c>
      <c r="Q126" s="10"/>
      <c r="R126" s="16">
        <f t="shared" si="50"/>
        <v>0</v>
      </c>
      <c r="S126" s="10"/>
      <c r="T126" s="40">
        <f t="shared" si="51"/>
        <v>0.9</v>
      </c>
      <c r="U126" s="8"/>
    </row>
    <row r="127" spans="1:21" ht="15.75" customHeight="1" x14ac:dyDescent="0.25">
      <c r="A127" s="530"/>
      <c r="B127" s="504" t="s">
        <v>13</v>
      </c>
      <c r="C127" s="504"/>
      <c r="D127" s="504"/>
      <c r="E127" s="504"/>
      <c r="F127" s="504"/>
      <c r="H127" s="46" t="e">
        <f>H124+H125+H126</f>
        <v>#REF!</v>
      </c>
      <c r="I127" s="10"/>
      <c r="J127" s="46" t="e">
        <f>SUM(J124:J126)</f>
        <v>#REF!</v>
      </c>
      <c r="K127" s="10"/>
      <c r="L127" s="16" t="e">
        <f>J127/H127</f>
        <v>#REF!</v>
      </c>
      <c r="M127" s="10"/>
      <c r="N127" s="16">
        <f>$F$1</f>
        <v>1</v>
      </c>
      <c r="O127" s="8"/>
      <c r="P127" s="46" t="e">
        <f>SUM(P124:P126)</f>
        <v>#REF!</v>
      </c>
      <c r="Q127" s="10"/>
      <c r="R127" s="16">
        <f t="shared" si="50"/>
        <v>0</v>
      </c>
      <c r="S127" s="10"/>
      <c r="T127" s="40">
        <f t="shared" si="51"/>
        <v>0.9</v>
      </c>
      <c r="U127" s="8"/>
    </row>
    <row r="128" spans="1:21" ht="15.75" customHeight="1" x14ac:dyDescent="0.25">
      <c r="H128"/>
      <c r="J128"/>
      <c r="P128"/>
    </row>
    <row r="129" spans="1:21" ht="15.75" customHeight="1" x14ac:dyDescent="0.25">
      <c r="A129" s="505" t="s">
        <v>1369</v>
      </c>
      <c r="B129" s="504" t="s">
        <v>10</v>
      </c>
      <c r="C129" s="504"/>
      <c r="D129" s="504"/>
      <c r="E129" s="504"/>
      <c r="F129" s="504"/>
      <c r="H129" s="46" t="e">
        <f>COUNTIFS(tbl_cleaning[Housing Team],"HOUSING SOUTH TEAM 2",#REF!,"&lt;&gt;NV")</f>
        <v>#REF!</v>
      </c>
      <c r="I129" s="10"/>
      <c r="J129" s="46" t="e" cm="1">
        <f t="array" ref="J129">SUM(COUNTIFS(tbl_cleaning[Housing Team],"HOUSING SOUTH TEAM 2",#REF!,{"1","2","3","4"}))</f>
        <v>#REF!</v>
      </c>
      <c r="K129" s="10"/>
      <c r="L129" s="16" t="e">
        <f>J129/H129</f>
        <v>#REF!</v>
      </c>
      <c r="M129" s="10"/>
      <c r="N129" s="16">
        <f>$F$1</f>
        <v>1</v>
      </c>
      <c r="O129" s="8"/>
      <c r="P129" s="46" t="e">
        <f>COUNTIFS(tbl_cleaning[Housing Team],"HOUSING SOUTH TEAM 2",#REF!,3)+COUNTIFS(tbl_cleaning[Housing Team],"HOUSING SOUTH TEAM 2",#REF!,4)</f>
        <v>#REF!</v>
      </c>
      <c r="Q129" s="10"/>
      <c r="R129" s="16">
        <f t="shared" ref="R129:R132" si="52">IFERROR(P129/J129,0)</f>
        <v>0</v>
      </c>
      <c r="S129" s="10"/>
      <c r="T129" s="40">
        <f t="shared" ref="T129:T132" si="53">$Q$1</f>
        <v>0.9</v>
      </c>
      <c r="U129" s="8"/>
    </row>
    <row r="130" spans="1:21" ht="15.75" customHeight="1" x14ac:dyDescent="0.25">
      <c r="A130" s="529"/>
      <c r="B130" s="504" t="s">
        <v>11</v>
      </c>
      <c r="C130" s="504"/>
      <c r="D130" s="504"/>
      <c r="E130" s="504"/>
      <c r="F130" s="504"/>
      <c r="H130" s="46" t="e">
        <f>COUNTIFS(tbl_cleaning[Housing Team],"HOUSING SOUTH TEAM 2",#REF!,"&lt;&gt;NV")</f>
        <v>#REF!</v>
      </c>
      <c r="I130" s="10"/>
      <c r="J130" s="46" t="e" cm="1">
        <f t="array" ref="J130">SUM(COUNTIFS(tbl_cleaning[Housing Team],"HOUSING SOUTH TEAM 2",#REF!,{"1","2","3","4"}))</f>
        <v>#REF!</v>
      </c>
      <c r="K130" s="10"/>
      <c r="L130" s="16" t="e">
        <f>J130/H130</f>
        <v>#REF!</v>
      </c>
      <c r="M130" s="10"/>
      <c r="N130" s="16">
        <f>$F$1</f>
        <v>1</v>
      </c>
      <c r="O130" s="8"/>
      <c r="P130" s="46" t="e">
        <f>COUNTIFS(tbl_cleaning[Housing Team],"HOUSING SOUTH TEAM 2",#REF!,3)+COUNTIFS(tbl_cleaning[Housing Team],"HOUSING SOUTH TEAM 2",#REF!,4)</f>
        <v>#REF!</v>
      </c>
      <c r="Q130" s="10"/>
      <c r="R130" s="16">
        <f t="shared" si="52"/>
        <v>0</v>
      </c>
      <c r="S130" s="10"/>
      <c r="T130" s="40">
        <f t="shared" si="53"/>
        <v>0.9</v>
      </c>
      <c r="U130" s="8"/>
    </row>
    <row r="131" spans="1:21" ht="15.75" customHeight="1" x14ac:dyDescent="0.25">
      <c r="A131" s="529"/>
      <c r="B131" s="504" t="s">
        <v>12</v>
      </c>
      <c r="C131" s="504"/>
      <c r="D131" s="504"/>
      <c r="E131" s="504"/>
      <c r="F131" s="504"/>
      <c r="H131" s="46" t="e">
        <f>COUNTIFS(#REF!,"HOUSING SOUTH TEAM 2",#REF!,"&lt;&gt;NV")</f>
        <v>#REF!</v>
      </c>
      <c r="I131" s="10"/>
      <c r="J131" s="46" t="e">
        <f t="array" ref="J131">SUM(COUNTIFS(#REF!,"HOUSING SOUTH TEAM 2",#REF!,{"1","2","3","4"}))</f>
        <v>#REF!</v>
      </c>
      <c r="K131" s="10"/>
      <c r="L131" s="16" t="e">
        <f>J131/H131</f>
        <v>#REF!</v>
      </c>
      <c r="M131" s="10"/>
      <c r="N131" s="16">
        <f>$F$1</f>
        <v>1</v>
      </c>
      <c r="O131" s="8"/>
      <c r="P131" s="46" t="e">
        <f>COUNTIFS(#REF!,"HOUSING SOUTH TEAM 2",#REF!,3)+COUNTIFS(#REF!,"HOUSING SOUTH TEAM 2",#REF!,4)</f>
        <v>#REF!</v>
      </c>
      <c r="Q131" s="10"/>
      <c r="R131" s="16">
        <f t="shared" si="52"/>
        <v>0</v>
      </c>
      <c r="S131" s="10"/>
      <c r="T131" s="40">
        <f t="shared" si="53"/>
        <v>0.9</v>
      </c>
      <c r="U131" s="8"/>
    </row>
    <row r="132" spans="1:21" ht="15.75" customHeight="1" x14ac:dyDescent="0.25">
      <c r="A132" s="530"/>
      <c r="B132" s="504" t="s">
        <v>13</v>
      </c>
      <c r="C132" s="504"/>
      <c r="D132" s="504"/>
      <c r="E132" s="504"/>
      <c r="F132" s="504"/>
      <c r="H132" s="46" t="e">
        <f>H129+H130+H131</f>
        <v>#REF!</v>
      </c>
      <c r="I132" s="10"/>
      <c r="J132" s="46" t="e">
        <f>SUM(J129:J131)</f>
        <v>#REF!</v>
      </c>
      <c r="K132" s="10"/>
      <c r="L132" s="16" t="e">
        <f>J132/H132</f>
        <v>#REF!</v>
      </c>
      <c r="M132" s="10"/>
      <c r="N132" s="16">
        <f>$F$1</f>
        <v>1</v>
      </c>
      <c r="O132" s="8"/>
      <c r="P132" s="46" t="e">
        <f>SUM(P129:P131)</f>
        <v>#REF!</v>
      </c>
      <c r="Q132" s="10"/>
      <c r="R132" s="16">
        <f t="shared" si="52"/>
        <v>0</v>
      </c>
      <c r="S132" s="10"/>
      <c r="T132" s="40">
        <f t="shared" si="53"/>
        <v>0.9</v>
      </c>
      <c r="U132" s="8"/>
    </row>
    <row r="133" spans="1:21" ht="15.75" customHeight="1" x14ac:dyDescent="0.25">
      <c r="H133"/>
      <c r="J133"/>
      <c r="P133"/>
    </row>
    <row r="134" spans="1:21" ht="15.75" customHeight="1" x14ac:dyDescent="0.25">
      <c r="A134" s="510" t="s">
        <v>1389</v>
      </c>
      <c r="B134" s="504" t="s">
        <v>10</v>
      </c>
      <c r="C134" s="504"/>
      <c r="D134" s="504"/>
      <c r="E134" s="504"/>
      <c r="F134" s="504"/>
      <c r="H134" s="46" t="e">
        <f>COUNTIFS(tbl_cleaning[Housing Team],"WOODBERRY DOWN TEAM",#REF!,"&lt;&gt;NV")</f>
        <v>#REF!</v>
      </c>
      <c r="I134" s="10"/>
      <c r="J134" s="46" t="e" cm="1">
        <f t="array" ref="J134">SUM(COUNTIFS(tbl_cleaning[Housing Team],"WOODBERRY DOWN TEAM",#REF!,{"1","2","3","4"}))</f>
        <v>#REF!</v>
      </c>
      <c r="K134" s="10"/>
      <c r="L134" s="16" t="e">
        <f>J134/H134</f>
        <v>#REF!</v>
      </c>
      <c r="M134" s="10"/>
      <c r="N134" s="16">
        <f>$F$1</f>
        <v>1</v>
      </c>
      <c r="O134" s="8"/>
      <c r="P134" s="46" t="e">
        <f>COUNTIFS(tbl_cleaning[Housing Team],"WOODBERRY DOWN TEAM",#REF!,3)+COUNTIFS(tbl_cleaning[Housing Team],"WOODBERRY DOWN TEAM",#REF!,4)</f>
        <v>#REF!</v>
      </c>
      <c r="Q134" s="10"/>
      <c r="R134" s="16">
        <f t="shared" ref="R134:R137" si="54">IFERROR(P134/J134,0)</f>
        <v>0</v>
      </c>
      <c r="S134" s="10"/>
      <c r="T134" s="40">
        <f t="shared" ref="T134:T137" si="55">$Q$1</f>
        <v>0.9</v>
      </c>
    </row>
    <row r="135" spans="1:21" ht="15.75" customHeight="1" x14ac:dyDescent="0.25">
      <c r="A135" s="512"/>
      <c r="B135" s="504" t="s">
        <v>11</v>
      </c>
      <c r="C135" s="504"/>
      <c r="D135" s="504"/>
      <c r="E135" s="504"/>
      <c r="F135" s="504"/>
      <c r="H135" s="46" t="e">
        <f>COUNTIFS(tbl_cleaning[Housing Team],"WOODBERRY DOWN TEAM",#REF!,"&lt;&gt;NV")</f>
        <v>#REF!</v>
      </c>
      <c r="I135" s="10"/>
      <c r="J135" s="46" t="e" cm="1">
        <f t="array" ref="J135">SUM(COUNTIFS(tbl_cleaning[Housing Team],"WOODBERRY DOWN TEAM",#REF!,{"1","2","3","4"}))</f>
        <v>#REF!</v>
      </c>
      <c r="K135" s="10"/>
      <c r="L135" s="16" t="e">
        <f>J135/H135</f>
        <v>#REF!</v>
      </c>
      <c r="M135" s="10"/>
      <c r="N135" s="16">
        <f>$F$1</f>
        <v>1</v>
      </c>
      <c r="O135" s="8"/>
      <c r="P135" s="46" t="e">
        <f>COUNTIFS(tbl_cleaning[Housing Team],"WOODBERRY DOWN TEAM",#REF!,3)+COUNTIFS(tbl_cleaning[Housing Team],"WOODBERRY DOWN TEAM",#REF!,4)</f>
        <v>#REF!</v>
      </c>
      <c r="Q135" s="10"/>
      <c r="R135" s="16">
        <f t="shared" si="54"/>
        <v>0</v>
      </c>
      <c r="S135" s="10"/>
      <c r="T135" s="40">
        <f t="shared" si="55"/>
        <v>0.9</v>
      </c>
    </row>
    <row r="136" spans="1:21" ht="15.75" customHeight="1" x14ac:dyDescent="0.25">
      <c r="A136" s="512"/>
      <c r="B136" s="504" t="s">
        <v>12</v>
      </c>
      <c r="C136" s="504"/>
      <c r="D136" s="504"/>
      <c r="E136" s="504"/>
      <c r="F136" s="504"/>
      <c r="H136" s="46" t="e">
        <f>COUNTIFS(#REF!,"WOODBERRY DOWN TEAM",#REF!,"&lt;&gt;NV")</f>
        <v>#REF!</v>
      </c>
      <c r="I136" s="10"/>
      <c r="J136" s="46" t="e" cm="1">
        <f t="array" ref="J136">SUM(COUNTIFS(#REF!,"WOODBERRY DOWN TEAM",#REF!,{"1","2","3","4"}))</f>
        <v>#REF!</v>
      </c>
      <c r="K136" s="10"/>
      <c r="L136" s="16" t="e">
        <f>J136/H136</f>
        <v>#REF!</v>
      </c>
      <c r="M136" s="10"/>
      <c r="N136" s="16">
        <f>$F$1</f>
        <v>1</v>
      </c>
      <c r="O136" s="8"/>
      <c r="P136" s="46" t="e">
        <f>COUNTIFS(#REF!,"WOODBERRY DOWN TEAM",#REF!,3)+COUNTIFS(#REF!,"WOODBERRY DOWN TEAM",#REF!,4)</f>
        <v>#REF!</v>
      </c>
      <c r="Q136" s="10"/>
      <c r="R136" s="16">
        <f t="shared" si="54"/>
        <v>0</v>
      </c>
      <c r="S136" s="10"/>
      <c r="T136" s="40">
        <f t="shared" si="55"/>
        <v>0.9</v>
      </c>
    </row>
    <row r="137" spans="1:21" ht="15.75" customHeight="1" x14ac:dyDescent="0.25">
      <c r="A137" s="513"/>
      <c r="B137" s="504" t="s">
        <v>13</v>
      </c>
      <c r="C137" s="504"/>
      <c r="D137" s="504"/>
      <c r="E137" s="504"/>
      <c r="F137" s="504"/>
      <c r="H137" s="46" t="e">
        <f>H134+H135+H136</f>
        <v>#REF!</v>
      </c>
      <c r="I137" s="10"/>
      <c r="J137" s="46" t="e">
        <f>SUM(J134:J136)</f>
        <v>#REF!</v>
      </c>
      <c r="K137" s="10"/>
      <c r="L137" s="16" t="e">
        <f>J137/H137</f>
        <v>#REF!</v>
      </c>
      <c r="M137" s="10"/>
      <c r="N137" s="16">
        <f>$F$1</f>
        <v>1</v>
      </c>
      <c r="O137" s="8"/>
      <c r="P137" s="46" t="e">
        <f>SUM(P134:P136)</f>
        <v>#REF!</v>
      </c>
      <c r="Q137" s="10"/>
      <c r="R137" s="16">
        <f t="shared" si="54"/>
        <v>0</v>
      </c>
      <c r="S137" s="10"/>
      <c r="T137" s="40">
        <f t="shared" si="55"/>
        <v>0.9</v>
      </c>
    </row>
    <row r="138" spans="1:21" ht="15.75" customHeight="1" thickBot="1" x14ac:dyDescent="0.3">
      <c r="H138"/>
      <c r="J138"/>
      <c r="P138"/>
    </row>
    <row r="139" spans="1:21" ht="15.75" customHeight="1" x14ac:dyDescent="0.25">
      <c r="A139" s="517" t="s">
        <v>39</v>
      </c>
      <c r="B139" s="50" t="s">
        <v>10</v>
      </c>
      <c r="C139" s="50"/>
      <c r="D139" s="50"/>
      <c r="E139" s="50"/>
      <c r="F139" s="51"/>
      <c r="G139" s="15"/>
      <c r="H139" s="46" t="e">
        <f>SUM(H4+H9+H19+H24+H29+H34+H39+H49)</f>
        <v>#REF!</v>
      </c>
      <c r="I139" s="10"/>
      <c r="J139" s="46" t="e">
        <f>SUM(J4+J9+J19+J24+J29+J34+J39+J49)</f>
        <v>#REF!</v>
      </c>
      <c r="K139" s="10"/>
      <c r="L139" s="16" t="e">
        <f>J139/H139</f>
        <v>#REF!</v>
      </c>
      <c r="M139" s="10"/>
      <c r="N139" s="16">
        <f>$F$1</f>
        <v>1</v>
      </c>
      <c r="O139" s="8"/>
      <c r="P139" s="46" t="e">
        <f>SUM(P4+P9+P19+P24+P29+P34+P39+P49)</f>
        <v>#REF!</v>
      </c>
      <c r="Q139" s="10"/>
      <c r="R139" s="16">
        <f t="shared" ref="R139:R142" si="56">IFERROR(P139/J139,0)</f>
        <v>0</v>
      </c>
      <c r="S139" s="10"/>
      <c r="T139" s="40">
        <f t="shared" ref="T139:T157" si="57">$Q$1</f>
        <v>0.9</v>
      </c>
      <c r="U139" s="8"/>
    </row>
    <row r="140" spans="1:21" ht="15.75" customHeight="1" x14ac:dyDescent="0.25">
      <c r="A140" s="518"/>
      <c r="B140" s="50" t="s">
        <v>11</v>
      </c>
      <c r="C140" s="50"/>
      <c r="D140" s="50"/>
      <c r="E140" s="50"/>
      <c r="F140" s="51"/>
      <c r="G140" s="15"/>
      <c r="H140" s="46" t="e">
        <f>SUM(H5+H10+H20+H25+H30+H35+H40+H50)</f>
        <v>#REF!</v>
      </c>
      <c r="I140" s="10"/>
      <c r="J140" s="46" t="e">
        <f>SUM(J5+J10+J20+J25+J30+J35+J40+J50)</f>
        <v>#REF!</v>
      </c>
      <c r="K140" s="10"/>
      <c r="L140" s="16" t="e">
        <f>J140/H140</f>
        <v>#REF!</v>
      </c>
      <c r="M140" s="10"/>
      <c r="N140" s="16">
        <f>$F$1</f>
        <v>1</v>
      </c>
      <c r="O140" s="8"/>
      <c r="P140" s="46" t="e">
        <f>SUM(P5+P10+P20+P25+P30+P35+P40+P50)</f>
        <v>#REF!</v>
      </c>
      <c r="Q140" s="10"/>
      <c r="R140" s="16">
        <f t="shared" si="56"/>
        <v>0</v>
      </c>
      <c r="S140" s="10"/>
      <c r="T140" s="40">
        <f t="shared" si="57"/>
        <v>0.9</v>
      </c>
      <c r="U140" s="8"/>
    </row>
    <row r="141" spans="1:21" ht="15.75" customHeight="1" x14ac:dyDescent="0.25">
      <c r="A141" s="518"/>
      <c r="B141" s="50" t="s">
        <v>12</v>
      </c>
      <c r="C141" s="50"/>
      <c r="D141" s="50"/>
      <c r="E141" s="50"/>
      <c r="F141" s="51"/>
      <c r="G141" s="15"/>
      <c r="H141" s="46" t="e">
        <f>SUM(H6+H11+H21+H26+H31+H36+H41+H51)</f>
        <v>#REF!</v>
      </c>
      <c r="I141" s="10"/>
      <c r="J141" s="46" t="e">
        <f>SUM(J6+J11+J21+J26+J31+J36+J41+J51)</f>
        <v>#REF!</v>
      </c>
      <c r="K141" s="10"/>
      <c r="L141" s="16" t="e">
        <f>J141/H141</f>
        <v>#REF!</v>
      </c>
      <c r="M141" s="10"/>
      <c r="N141" s="16">
        <f>$F$1</f>
        <v>1</v>
      </c>
      <c r="O141" s="8"/>
      <c r="P141" s="46" t="e">
        <f>SUM(P6+P11+P21+P26+P31+P36+P41+P51)</f>
        <v>#REF!</v>
      </c>
      <c r="Q141" s="10"/>
      <c r="R141" s="16">
        <f t="shared" si="56"/>
        <v>0</v>
      </c>
      <c r="S141" s="10"/>
      <c r="T141" s="40">
        <f t="shared" si="57"/>
        <v>0.9</v>
      </c>
      <c r="U141" s="8"/>
    </row>
    <row r="142" spans="1:21" ht="15.75" customHeight="1" thickBot="1" x14ac:dyDescent="0.3">
      <c r="A142" s="519"/>
      <c r="B142" s="50" t="s">
        <v>13</v>
      </c>
      <c r="C142" s="50"/>
      <c r="D142" s="50"/>
      <c r="E142" s="50"/>
      <c r="F142" s="51"/>
      <c r="G142" s="8"/>
      <c r="H142" s="46" t="e">
        <f>SUM(H139+H140+H141)</f>
        <v>#REF!</v>
      </c>
      <c r="I142" s="10"/>
      <c r="J142" s="46" t="e">
        <f>SUM(J7+J12+J22+J27+J32+J37+J42+J52)</f>
        <v>#REF!</v>
      </c>
      <c r="K142" s="10"/>
      <c r="L142" s="16" t="e">
        <f>J142/H142</f>
        <v>#REF!</v>
      </c>
      <c r="M142" s="10"/>
      <c r="N142" s="16">
        <f>$F$1</f>
        <v>1</v>
      </c>
      <c r="O142" s="8"/>
      <c r="P142" s="46" t="e">
        <f>SUM(P7+P12+P22+P27+P32+P37+P42+P52)</f>
        <v>#REF!</v>
      </c>
      <c r="Q142" s="10"/>
      <c r="R142" s="16">
        <f t="shared" si="56"/>
        <v>0</v>
      </c>
      <c r="S142" s="10"/>
      <c r="T142" s="40">
        <f t="shared" si="57"/>
        <v>0.9</v>
      </c>
      <c r="U142" s="8"/>
    </row>
    <row r="143" spans="1:21" ht="15.75" customHeight="1" thickBot="1" x14ac:dyDescent="0.3">
      <c r="H143"/>
      <c r="J143"/>
      <c r="P143"/>
    </row>
    <row r="144" spans="1:21" ht="15.75" customHeight="1" x14ac:dyDescent="0.25">
      <c r="A144" s="520" t="s">
        <v>40</v>
      </c>
      <c r="B144" s="50" t="s">
        <v>10</v>
      </c>
      <c r="C144" s="50"/>
      <c r="D144" s="50"/>
      <c r="E144" s="50"/>
      <c r="F144" s="51"/>
      <c r="G144" s="15"/>
      <c r="H144" s="46" t="e">
        <f>SUM(H14+H44+H54+H124+H129)</f>
        <v>#REF!</v>
      </c>
      <c r="I144" s="10"/>
      <c r="J144" s="46" t="e">
        <f>SUM(J14+J44+J54+J124+J129+J59)</f>
        <v>#REF!</v>
      </c>
      <c r="K144" s="10"/>
      <c r="L144" s="16" t="e">
        <f>J144/H144</f>
        <v>#REF!</v>
      </c>
      <c r="M144" s="10"/>
      <c r="N144" s="16">
        <f>$F$1</f>
        <v>1</v>
      </c>
      <c r="O144" s="8"/>
      <c r="P144" s="46" t="e">
        <f>SUM(P14+P44+P54+P124+P129+P59)</f>
        <v>#REF!</v>
      </c>
      <c r="Q144" s="10"/>
      <c r="R144" s="16">
        <f t="shared" ref="R144:R147" si="58">IFERROR(P144/J144,0)</f>
        <v>0</v>
      </c>
      <c r="S144" s="10"/>
      <c r="T144" s="40">
        <f t="shared" si="57"/>
        <v>0.9</v>
      </c>
      <c r="U144" s="8"/>
    </row>
    <row r="145" spans="1:21" ht="15.75" customHeight="1" x14ac:dyDescent="0.25">
      <c r="A145" s="521"/>
      <c r="B145" s="50" t="s">
        <v>11</v>
      </c>
      <c r="C145" s="50"/>
      <c r="D145" s="50"/>
      <c r="E145" s="50"/>
      <c r="F145" s="51"/>
      <c r="G145" s="15"/>
      <c r="H145" s="46" t="e">
        <f>SUM(H15+H45+H55+H125+H130)</f>
        <v>#REF!</v>
      </c>
      <c r="I145" s="10"/>
      <c r="J145" s="46" t="e">
        <f>SUM(J15+J45+J55+J125+J130+J60)</f>
        <v>#REF!</v>
      </c>
      <c r="K145" s="10"/>
      <c r="L145" s="16" t="e">
        <f>J145/H145</f>
        <v>#REF!</v>
      </c>
      <c r="M145" s="10"/>
      <c r="N145" s="16">
        <f>$F$1</f>
        <v>1</v>
      </c>
      <c r="O145" s="8"/>
      <c r="P145" s="46" t="e">
        <f>SUM(P15+P45+P55+P125+P130+P60)</f>
        <v>#REF!</v>
      </c>
      <c r="Q145" s="10"/>
      <c r="R145" s="16">
        <f t="shared" si="58"/>
        <v>0</v>
      </c>
      <c r="S145" s="10"/>
      <c r="T145" s="40">
        <f t="shared" si="57"/>
        <v>0.9</v>
      </c>
      <c r="U145" s="8"/>
    </row>
    <row r="146" spans="1:21" ht="15.75" customHeight="1" x14ac:dyDescent="0.25">
      <c r="A146" s="521"/>
      <c r="B146" s="50" t="s">
        <v>12</v>
      </c>
      <c r="C146" s="50"/>
      <c r="D146" s="50"/>
      <c r="E146" s="50"/>
      <c r="F146" s="51"/>
      <c r="G146" s="15"/>
      <c r="H146" s="46" t="e">
        <f>SUM(H16+H46+H56+H126+H131)</f>
        <v>#REF!</v>
      </c>
      <c r="I146" s="10"/>
      <c r="J146" s="46" t="e">
        <f>SUM(J16+J46+J56+J126+J131+J61)</f>
        <v>#REF!</v>
      </c>
      <c r="K146" s="10"/>
      <c r="L146" s="16" t="e">
        <f>J146/H146</f>
        <v>#REF!</v>
      </c>
      <c r="M146" s="10"/>
      <c r="N146" s="16">
        <f>$F$1</f>
        <v>1</v>
      </c>
      <c r="O146" s="8"/>
      <c r="P146" s="46" t="e">
        <f>SUM(P16+P46+P56+P126+P131+P61)</f>
        <v>#REF!</v>
      </c>
      <c r="Q146" s="10"/>
      <c r="R146" s="16">
        <f t="shared" si="58"/>
        <v>0</v>
      </c>
      <c r="S146" s="10"/>
      <c r="T146" s="40">
        <f t="shared" si="57"/>
        <v>0.9</v>
      </c>
      <c r="U146" s="8"/>
    </row>
    <row r="147" spans="1:21" ht="15.75" customHeight="1" thickBot="1" x14ac:dyDescent="0.3">
      <c r="A147" s="522"/>
      <c r="B147" s="50" t="s">
        <v>13</v>
      </c>
      <c r="C147" s="50"/>
      <c r="D147" s="50"/>
      <c r="E147" s="50"/>
      <c r="F147" s="51"/>
      <c r="G147" s="8"/>
      <c r="H147" s="46" t="e">
        <f>SUM(H144+H145+H146)</f>
        <v>#REF!</v>
      </c>
      <c r="I147" s="10"/>
      <c r="J147" s="46" t="e">
        <f>SUM(J144+J145+J146)</f>
        <v>#REF!</v>
      </c>
      <c r="K147" s="10"/>
      <c r="L147" s="16" t="e">
        <f>J147/H147</f>
        <v>#REF!</v>
      </c>
      <c r="M147" s="10"/>
      <c r="N147" s="16">
        <f>$F$1</f>
        <v>1</v>
      </c>
      <c r="O147" s="8"/>
      <c r="P147" s="46" t="e">
        <f>SUM(P144+P145+P146)</f>
        <v>#REF!</v>
      </c>
      <c r="Q147" s="10"/>
      <c r="R147" s="16">
        <f t="shared" si="58"/>
        <v>0</v>
      </c>
      <c r="S147" s="10"/>
      <c r="T147" s="40">
        <f t="shared" si="57"/>
        <v>0.9</v>
      </c>
      <c r="U147" s="8"/>
    </row>
    <row r="148" spans="1:21" ht="15.75" thickBot="1" x14ac:dyDescent="0.3">
      <c r="H148"/>
      <c r="J148"/>
      <c r="P148"/>
    </row>
    <row r="149" spans="1:21" ht="15.75" x14ac:dyDescent="0.25">
      <c r="A149" s="523" t="s">
        <v>41</v>
      </c>
      <c r="B149" s="50" t="s">
        <v>10</v>
      </c>
      <c r="C149" s="50"/>
      <c r="D149" s="50"/>
      <c r="E149" s="50"/>
      <c r="F149" s="51"/>
      <c r="G149" s="15"/>
      <c r="H149" s="46" t="e">
        <f>SUM(H59+H69+H74+H79+H84)</f>
        <v>#REF!</v>
      </c>
      <c r="I149" s="10"/>
      <c r="J149" s="46" t="e">
        <f>SUM(J69+J74+J79+J84+J64+J134)</f>
        <v>#REF!</v>
      </c>
      <c r="K149" s="10"/>
      <c r="L149" s="16" t="e">
        <f>J149/H149</f>
        <v>#REF!</v>
      </c>
      <c r="M149" s="10"/>
      <c r="N149" s="16">
        <f>$F$1</f>
        <v>1</v>
      </c>
      <c r="O149" s="8"/>
      <c r="P149" s="46" t="e">
        <f>SUM(P59+P69+P74+P79+P84+P134)</f>
        <v>#REF!</v>
      </c>
      <c r="Q149" s="10"/>
      <c r="R149" s="16">
        <f t="shared" ref="R149:R152" si="59">IFERROR(P149/J149,0)</f>
        <v>0</v>
      </c>
      <c r="S149" s="10"/>
      <c r="T149" s="40">
        <f t="shared" si="57"/>
        <v>0.9</v>
      </c>
    </row>
    <row r="150" spans="1:21" ht="15.75" x14ac:dyDescent="0.25">
      <c r="A150" s="524"/>
      <c r="B150" s="50" t="s">
        <v>11</v>
      </c>
      <c r="C150" s="50"/>
      <c r="D150" s="50"/>
      <c r="E150" s="50"/>
      <c r="F150" s="51"/>
      <c r="G150" s="15"/>
      <c r="H150" s="46" t="e">
        <f>SUM(H60+H70+H75+H80+H85)</f>
        <v>#REF!</v>
      </c>
      <c r="I150" s="10"/>
      <c r="J150" s="46" t="e">
        <f>SUM(J70+J75+J80+J85+J65+J135)</f>
        <v>#REF!</v>
      </c>
      <c r="K150" s="10"/>
      <c r="L150" s="16" t="e">
        <f>J150/H150</f>
        <v>#REF!</v>
      </c>
      <c r="M150" s="10"/>
      <c r="N150" s="16">
        <f>$F$1</f>
        <v>1</v>
      </c>
      <c r="O150" s="8"/>
      <c r="P150" s="46" t="e">
        <f>SUM(P60+P70+P75+P80+P85+P135)</f>
        <v>#REF!</v>
      </c>
      <c r="Q150" s="10"/>
      <c r="R150" s="16">
        <f t="shared" si="59"/>
        <v>0</v>
      </c>
      <c r="S150" s="10"/>
      <c r="T150" s="40">
        <f t="shared" si="57"/>
        <v>0.9</v>
      </c>
    </row>
    <row r="151" spans="1:21" ht="15.75" x14ac:dyDescent="0.25">
      <c r="A151" s="524"/>
      <c r="B151" s="50" t="s">
        <v>12</v>
      </c>
      <c r="C151" s="50"/>
      <c r="D151" s="50"/>
      <c r="E151" s="50"/>
      <c r="F151" s="51"/>
      <c r="G151" s="15"/>
      <c r="H151" s="46" t="e">
        <f>SUM(H61+H71+H76+H81+H86)</f>
        <v>#REF!</v>
      </c>
      <c r="I151" s="10"/>
      <c r="J151" s="46" t="e">
        <f>SUM(J71+J76+J81+J86+J66+J136)</f>
        <v>#REF!</v>
      </c>
      <c r="K151" s="10"/>
      <c r="L151" s="16" t="e">
        <f>J151/H151</f>
        <v>#REF!</v>
      </c>
      <c r="M151" s="10"/>
      <c r="N151" s="16">
        <f>$F$1</f>
        <v>1</v>
      </c>
      <c r="O151" s="8"/>
      <c r="P151" s="46" t="e">
        <f>SUM(P61+P71+P76+P81+P86+P136)</f>
        <v>#REF!</v>
      </c>
      <c r="Q151" s="10"/>
      <c r="R151" s="16">
        <f t="shared" si="59"/>
        <v>0</v>
      </c>
      <c r="S151" s="10"/>
      <c r="T151" s="40">
        <f t="shared" si="57"/>
        <v>0.9</v>
      </c>
    </row>
    <row r="152" spans="1:21" ht="15.75" thickBot="1" x14ac:dyDescent="0.3">
      <c r="A152" s="525"/>
      <c r="B152" s="50" t="s">
        <v>13</v>
      </c>
      <c r="C152" s="50"/>
      <c r="D152" s="50"/>
      <c r="E152" s="50"/>
      <c r="F152" s="51"/>
      <c r="G152" s="8"/>
      <c r="H152" s="46" t="e">
        <f>SUM(H149+H150+H151)</f>
        <v>#REF!</v>
      </c>
      <c r="I152" s="10"/>
      <c r="J152" s="46" t="e">
        <f>SUM(J149+J150+J151)</f>
        <v>#REF!</v>
      </c>
      <c r="K152" s="10"/>
      <c r="L152" s="16" t="e">
        <f>J152/H152</f>
        <v>#REF!</v>
      </c>
      <c r="M152" s="10"/>
      <c r="N152" s="16">
        <f>$F$1</f>
        <v>1</v>
      </c>
      <c r="O152" s="8"/>
      <c r="P152" s="46" t="e">
        <f>SUM(P149+P150+P151)</f>
        <v>#REF!</v>
      </c>
      <c r="Q152" s="10"/>
      <c r="R152" s="16">
        <f t="shared" si="59"/>
        <v>0</v>
      </c>
      <c r="S152" s="10"/>
      <c r="T152" s="40">
        <f t="shared" si="57"/>
        <v>0.9</v>
      </c>
    </row>
    <row r="153" spans="1:21" ht="15.75" thickBot="1" x14ac:dyDescent="0.3">
      <c r="H153"/>
      <c r="J153"/>
      <c r="P153"/>
    </row>
    <row r="154" spans="1:21" ht="15.75" x14ac:dyDescent="0.25">
      <c r="A154" s="526" t="s">
        <v>42</v>
      </c>
      <c r="B154" s="50" t="s">
        <v>10</v>
      </c>
      <c r="C154" s="50"/>
      <c r="D154" s="50"/>
      <c r="E154" s="50"/>
      <c r="F154" s="51"/>
      <c r="G154" s="15"/>
      <c r="H154" s="46" t="e">
        <f>SUM(H89+H94+H99+H104+H109+H114+H119)</f>
        <v>#REF!</v>
      </c>
      <c r="I154" s="10"/>
      <c r="J154" s="46" t="e">
        <f>SUM(J89+J94+J99+J104+J109+J114+J119)</f>
        <v>#REF!</v>
      </c>
      <c r="K154" s="10"/>
      <c r="L154" s="16" t="e">
        <f>J154/H154</f>
        <v>#REF!</v>
      </c>
      <c r="M154" s="10"/>
      <c r="N154" s="16">
        <f>$F$1</f>
        <v>1</v>
      </c>
      <c r="O154" s="8"/>
      <c r="P154" s="46" t="e">
        <f>SUM(P89+P94+P99+P104+P109+P114+P119)</f>
        <v>#REF!</v>
      </c>
      <c r="Q154" s="10"/>
      <c r="R154" s="16">
        <f t="shared" ref="R154:R157" si="60">IFERROR(P154/J154,0)</f>
        <v>0</v>
      </c>
      <c r="S154" s="10"/>
      <c r="T154" s="40">
        <f t="shared" si="57"/>
        <v>0.9</v>
      </c>
    </row>
    <row r="155" spans="1:21" ht="15.75" x14ac:dyDescent="0.25">
      <c r="A155" s="527"/>
      <c r="B155" s="50" t="s">
        <v>11</v>
      </c>
      <c r="C155" s="50"/>
      <c r="D155" s="50"/>
      <c r="E155" s="50"/>
      <c r="F155" s="51"/>
      <c r="G155" s="15"/>
      <c r="H155" s="46" t="e">
        <f>SUM(H90+H95+H100+H105+H110+H115+H120)</f>
        <v>#REF!</v>
      </c>
      <c r="I155" s="10"/>
      <c r="J155" s="46" t="e">
        <f>SUM(J90+J95+J100+J105+J110+J115+J120)</f>
        <v>#REF!</v>
      </c>
      <c r="K155" s="10"/>
      <c r="L155" s="16" t="e">
        <f>J155/H155</f>
        <v>#REF!</v>
      </c>
      <c r="M155" s="10"/>
      <c r="N155" s="16">
        <f>$F$1</f>
        <v>1</v>
      </c>
      <c r="O155" s="8"/>
      <c r="P155" s="46" t="e">
        <f>SUM(P90+P95+P100+P105+P110+P115+P120)</f>
        <v>#REF!</v>
      </c>
      <c r="Q155" s="10"/>
      <c r="R155" s="16">
        <f t="shared" si="60"/>
        <v>0</v>
      </c>
      <c r="S155" s="10"/>
      <c r="T155" s="40">
        <f t="shared" si="57"/>
        <v>0.9</v>
      </c>
    </row>
    <row r="156" spans="1:21" ht="15.75" x14ac:dyDescent="0.25">
      <c r="A156" s="527"/>
      <c r="B156" s="50" t="s">
        <v>12</v>
      </c>
      <c r="C156" s="50"/>
      <c r="D156" s="50"/>
      <c r="E156" s="50"/>
      <c r="F156" s="51"/>
      <c r="G156" s="15"/>
      <c r="H156" s="46" t="e">
        <f>SUM(H91+H96+H101+H106+H111+H116+H121)</f>
        <v>#REF!</v>
      </c>
      <c r="I156" s="10"/>
      <c r="J156" s="46" t="e">
        <f>SUM(J91+J96+J101+J106+J111+J116+J121)</f>
        <v>#REF!</v>
      </c>
      <c r="K156" s="10"/>
      <c r="L156" s="16" t="e">
        <f>J156/H156</f>
        <v>#REF!</v>
      </c>
      <c r="M156" s="10"/>
      <c r="N156" s="16">
        <f>$F$1</f>
        <v>1</v>
      </c>
      <c r="O156" s="8"/>
      <c r="P156" s="46" t="e">
        <f>SUM(P91+P96+P101+P106+P111+P116+P121)</f>
        <v>#REF!</v>
      </c>
      <c r="Q156" s="10"/>
      <c r="R156" s="16">
        <f t="shared" si="60"/>
        <v>0</v>
      </c>
      <c r="S156" s="10"/>
      <c r="T156" s="40">
        <f t="shared" si="57"/>
        <v>0.9</v>
      </c>
    </row>
    <row r="157" spans="1:21" ht="15.75" thickBot="1" x14ac:dyDescent="0.3">
      <c r="A157" s="528"/>
      <c r="B157" s="50" t="s">
        <v>13</v>
      </c>
      <c r="C157" s="50"/>
      <c r="D157" s="50"/>
      <c r="E157" s="50"/>
      <c r="F157" s="51"/>
      <c r="G157" s="8"/>
      <c r="H157" s="46" t="e">
        <f>SUM(H154+H155+H156)</f>
        <v>#REF!</v>
      </c>
      <c r="I157" s="10"/>
      <c r="J157" s="46" t="e">
        <f>SUM(J154+J155+J156)</f>
        <v>#REF!</v>
      </c>
      <c r="K157" s="10"/>
      <c r="L157" s="16" t="e">
        <f>J157/H157</f>
        <v>#REF!</v>
      </c>
      <c r="M157" s="10"/>
      <c r="N157" s="16">
        <f>$F$1</f>
        <v>1</v>
      </c>
      <c r="O157" s="8"/>
      <c r="P157" s="46" t="e">
        <f>SUM(P154+P155+P156)</f>
        <v>#REF!</v>
      </c>
      <c r="Q157" s="10"/>
      <c r="R157" s="16">
        <f t="shared" si="60"/>
        <v>0</v>
      </c>
      <c r="S157" s="10"/>
      <c r="T157" s="40">
        <f t="shared" si="57"/>
        <v>0.9</v>
      </c>
    </row>
    <row r="158" spans="1:21" ht="15.75" thickBot="1" x14ac:dyDescent="0.3">
      <c r="H158"/>
      <c r="J158"/>
      <c r="P158"/>
    </row>
    <row r="159" spans="1:21" ht="29.25" customHeight="1" thickBot="1" x14ac:dyDescent="0.3">
      <c r="E159" s="149" t="s">
        <v>43</v>
      </c>
      <c r="F159" s="150"/>
      <c r="H159" s="151" t="e">
        <f>SUM(H142+H147+H152+H157)</f>
        <v>#REF!</v>
      </c>
      <c r="J159" s="151" t="e">
        <f>SUM(J142+J147+J152+J157)</f>
        <v>#REF!</v>
      </c>
      <c r="L159" s="152" t="e">
        <f>SUM(J159/H159)</f>
        <v>#REF!</v>
      </c>
      <c r="N159" s="16">
        <f>$F$1</f>
        <v>1</v>
      </c>
      <c r="P159" s="151" t="e">
        <f>SUM(P142+P147+P152+P157)</f>
        <v>#REF!</v>
      </c>
      <c r="R159" s="152">
        <f>IFERROR(P159/J159,0)</f>
        <v>0</v>
      </c>
      <c r="T159" s="153">
        <f>IFERROR(P159/J159,0)</f>
        <v>0</v>
      </c>
    </row>
  </sheetData>
  <mergeCells count="139">
    <mergeCell ref="A4:A7"/>
    <mergeCell ref="B4:F4"/>
    <mergeCell ref="B5:F5"/>
    <mergeCell ref="B6:F6"/>
    <mergeCell ref="B7:F7"/>
    <mergeCell ref="A9:A12"/>
    <mergeCell ref="B9:F9"/>
    <mergeCell ref="B10:F10"/>
    <mergeCell ref="B11:F11"/>
    <mergeCell ref="B12:F12"/>
    <mergeCell ref="A14:A17"/>
    <mergeCell ref="B14:F14"/>
    <mergeCell ref="B15:F15"/>
    <mergeCell ref="B16:F16"/>
    <mergeCell ref="B17:F17"/>
    <mergeCell ref="A19:A22"/>
    <mergeCell ref="B19:F19"/>
    <mergeCell ref="B20:F20"/>
    <mergeCell ref="B21:F21"/>
    <mergeCell ref="B22:F22"/>
    <mergeCell ref="A24:A27"/>
    <mergeCell ref="B24:F24"/>
    <mergeCell ref="B25:F25"/>
    <mergeCell ref="B26:F26"/>
    <mergeCell ref="B27:F27"/>
    <mergeCell ref="A29:A32"/>
    <mergeCell ref="B29:F29"/>
    <mergeCell ref="B30:F30"/>
    <mergeCell ref="B31:F31"/>
    <mergeCell ref="B32:F32"/>
    <mergeCell ref="A34:A37"/>
    <mergeCell ref="B34:F34"/>
    <mergeCell ref="B35:F35"/>
    <mergeCell ref="B36:F36"/>
    <mergeCell ref="B37:F37"/>
    <mergeCell ref="A39:A42"/>
    <mergeCell ref="B39:F39"/>
    <mergeCell ref="B40:F40"/>
    <mergeCell ref="B41:F41"/>
    <mergeCell ref="B42:F42"/>
    <mergeCell ref="A44:A47"/>
    <mergeCell ref="B44:F44"/>
    <mergeCell ref="B45:F45"/>
    <mergeCell ref="B46:F46"/>
    <mergeCell ref="B47:F47"/>
    <mergeCell ref="A49:A52"/>
    <mergeCell ref="B49:F49"/>
    <mergeCell ref="B50:F50"/>
    <mergeCell ref="B51:F51"/>
    <mergeCell ref="B52:F52"/>
    <mergeCell ref="A54:A57"/>
    <mergeCell ref="B54:F54"/>
    <mergeCell ref="B55:F55"/>
    <mergeCell ref="B56:F56"/>
    <mergeCell ref="B57:F57"/>
    <mergeCell ref="A59:A62"/>
    <mergeCell ref="B59:F59"/>
    <mergeCell ref="B60:F60"/>
    <mergeCell ref="B61:F61"/>
    <mergeCell ref="B62:F62"/>
    <mergeCell ref="A64:A67"/>
    <mergeCell ref="B64:F64"/>
    <mergeCell ref="B65:F65"/>
    <mergeCell ref="B66:F66"/>
    <mergeCell ref="B67:F67"/>
    <mergeCell ref="A69:A72"/>
    <mergeCell ref="B69:F69"/>
    <mergeCell ref="B70:F70"/>
    <mergeCell ref="B71:F71"/>
    <mergeCell ref="B72:F72"/>
    <mergeCell ref="A74:A77"/>
    <mergeCell ref="B74:F74"/>
    <mergeCell ref="B75:F75"/>
    <mergeCell ref="B76:F76"/>
    <mergeCell ref="B77:F77"/>
    <mergeCell ref="A79:A82"/>
    <mergeCell ref="B79:F79"/>
    <mergeCell ref="B80:F80"/>
    <mergeCell ref="B81:F81"/>
    <mergeCell ref="B82:F82"/>
    <mergeCell ref="A84:A87"/>
    <mergeCell ref="B84:F84"/>
    <mergeCell ref="B85:F85"/>
    <mergeCell ref="B86:F86"/>
    <mergeCell ref="B87:F87"/>
    <mergeCell ref="A89:A92"/>
    <mergeCell ref="B89:F89"/>
    <mergeCell ref="B90:F90"/>
    <mergeCell ref="B91:F91"/>
    <mergeCell ref="B92:F92"/>
    <mergeCell ref="A94:A97"/>
    <mergeCell ref="B94:F94"/>
    <mergeCell ref="B95:F95"/>
    <mergeCell ref="B96:F96"/>
    <mergeCell ref="B97:F97"/>
    <mergeCell ref="A99:A102"/>
    <mergeCell ref="B99:F99"/>
    <mergeCell ref="B100:F100"/>
    <mergeCell ref="B101:F101"/>
    <mergeCell ref="B102:F102"/>
    <mergeCell ref="A104:A107"/>
    <mergeCell ref="B104:F104"/>
    <mergeCell ref="B105:F105"/>
    <mergeCell ref="B106:F106"/>
    <mergeCell ref="B107:F107"/>
    <mergeCell ref="A109:A112"/>
    <mergeCell ref="B109:F109"/>
    <mergeCell ref="B110:F110"/>
    <mergeCell ref="B111:F111"/>
    <mergeCell ref="B112:F112"/>
    <mergeCell ref="A114:A117"/>
    <mergeCell ref="B114:F114"/>
    <mergeCell ref="B115:F115"/>
    <mergeCell ref="B116:F116"/>
    <mergeCell ref="B117:F117"/>
    <mergeCell ref="A119:A122"/>
    <mergeCell ref="B119:F119"/>
    <mergeCell ref="B120:F120"/>
    <mergeCell ref="B121:F121"/>
    <mergeCell ref="B122:F122"/>
    <mergeCell ref="A124:A127"/>
    <mergeCell ref="B124:F124"/>
    <mergeCell ref="B125:F125"/>
    <mergeCell ref="B126:F126"/>
    <mergeCell ref="B127:F127"/>
    <mergeCell ref="A129:A132"/>
    <mergeCell ref="B129:F129"/>
    <mergeCell ref="B130:F130"/>
    <mergeCell ref="B131:F131"/>
    <mergeCell ref="B132:F132"/>
    <mergeCell ref="A144:A147"/>
    <mergeCell ref="A149:A152"/>
    <mergeCell ref="A154:A157"/>
    <mergeCell ref="A134:A137"/>
    <mergeCell ref="B134:F134"/>
    <mergeCell ref="B135:F135"/>
    <mergeCell ref="B136:F136"/>
    <mergeCell ref="B137:F137"/>
    <mergeCell ref="A139:A142"/>
  </mergeCells>
  <conditionalFormatting sqref="N4:N7 N9:N12 N14:N17 N19:N22 N24:N27 N29:N32 N34:N37 N39:N42 N44:N47 N49:N52 N54:N57 N59:N62 N64:N67 N69:N72 N74:N77 N79:N82 N84:N87 N89:N92 N94:N97 N99:N102 N104:N107 N109:N112 N114:N117 N119:N122 N124:N127 N129:N132 N139:N142 N144:N147 N149:N152 N154:N157 N159">
    <cfRule type="expression" dxfId="187" priority="10">
      <formula>$L4=$N4</formula>
    </cfRule>
    <cfRule type="expression" dxfId="186" priority="11">
      <formula>$L4&gt;$N4</formula>
    </cfRule>
    <cfRule type="expression" dxfId="185" priority="12">
      <formula>$L4&lt;$N4</formula>
    </cfRule>
  </conditionalFormatting>
  <conditionalFormatting sqref="T4:T7 T9:T12 T14:T17 T19:T22 T24:T27 T29:T32 T34:T37 T39:T42 T44:T47 T49:T52 T54:T57 T59:T62 T64:T67 T69:T72 T74:T77 T79:T82 T84:T87 T89:T92 T94:T97 T99:T102 T104:T107 T109:T112 T114:T117 T119:T122 T124:T127 T129:T132 T139:T142 T144:T147 T149:T152 T154:T157 T159">
    <cfRule type="expression" dxfId="184" priority="7">
      <formula>$R4=$T4</formula>
    </cfRule>
    <cfRule type="expression" dxfId="183" priority="8">
      <formula>$R4&gt;$T4</formula>
    </cfRule>
    <cfRule type="expression" dxfId="182" priority="9">
      <formula>$R4&lt;$T4</formula>
    </cfRule>
  </conditionalFormatting>
  <conditionalFormatting sqref="N134:N137">
    <cfRule type="expression" dxfId="181" priority="4">
      <formula>$L134=$N134</formula>
    </cfRule>
    <cfRule type="expression" dxfId="180" priority="5">
      <formula>$L134&gt;$N134</formula>
    </cfRule>
    <cfRule type="expression" dxfId="179" priority="6">
      <formula>$L134&lt;$N134</formula>
    </cfRule>
  </conditionalFormatting>
  <conditionalFormatting sqref="T134:T137">
    <cfRule type="expression" dxfId="178" priority="1">
      <formula>$R134=$T134</formula>
    </cfRule>
    <cfRule type="expression" dxfId="177" priority="2">
      <formula>$R134&gt;$T134</formula>
    </cfRule>
    <cfRule type="expression" dxfId="176" priority="3">
      <formula>$R134&lt;$T134</formula>
    </cfRule>
  </conditionalFormatting>
  <pageMargins left="0.7" right="0.7" top="0.75" bottom="0.75" header="0.3" footer="0.3"/>
  <pageSetup paperSize="9" scale="45" fitToWidth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  <pageSetUpPr fitToPage="1"/>
  </sheetPr>
  <dimension ref="A1:G740"/>
  <sheetViews>
    <sheetView tabSelected="1" zoomScaleNormal="100" workbookViewId="0">
      <selection activeCell="C6" sqref="C6"/>
    </sheetView>
  </sheetViews>
  <sheetFormatPr defaultRowHeight="15" customHeight="1" x14ac:dyDescent="0.25"/>
  <cols>
    <col min="1" max="1" width="37.7109375" style="185" customWidth="1"/>
    <col min="2" max="2" width="10.7109375" bestFit="1" customWidth="1"/>
    <col min="3" max="3" width="9.5703125" customWidth="1"/>
    <col min="4" max="4" width="20.85546875" customWidth="1"/>
    <col min="5" max="5" width="8.7109375" style="49" customWidth="1"/>
    <col min="7" max="7" width="8.85546875" customWidth="1"/>
  </cols>
  <sheetData>
    <row r="1" spans="1:5" ht="21.6" customHeight="1" x14ac:dyDescent="0.25">
      <c r="A1" s="412" t="s">
        <v>44</v>
      </c>
      <c r="B1" s="408"/>
      <c r="C1" s="408"/>
      <c r="D1" s="408"/>
      <c r="E1" s="445"/>
    </row>
    <row r="2" spans="1:5" ht="11.45" customHeight="1" x14ac:dyDescent="0.25">
      <c r="A2" s="412"/>
      <c r="B2" s="458">
        <v>44104</v>
      </c>
      <c r="C2" s="408"/>
      <c r="D2" s="408"/>
      <c r="E2" s="445"/>
    </row>
    <row r="3" spans="1:5" ht="15" customHeight="1" x14ac:dyDescent="0.25">
      <c r="A3" s="457" t="s">
        <v>1396</v>
      </c>
      <c r="B3" s="459">
        <v>44135</v>
      </c>
      <c r="C3" s="409"/>
      <c r="D3" s="409"/>
      <c r="E3" s="410"/>
    </row>
    <row r="4" spans="1:5" s="415" customFormat="1" ht="20.45" customHeight="1" x14ac:dyDescent="0.2">
      <c r="A4" s="411" t="s">
        <v>45</v>
      </c>
      <c r="B4" s="533">
        <v>44105</v>
      </c>
      <c r="C4" s="534"/>
      <c r="D4" s="413"/>
      <c r="E4" s="414"/>
    </row>
    <row r="5" spans="1:5" s="407" customFormat="1" ht="15" customHeight="1" x14ac:dyDescent="0.25">
      <c r="A5" s="405" t="s">
        <v>46</v>
      </c>
      <c r="B5" s="377" t="s">
        <v>1394</v>
      </c>
      <c r="C5" s="377" t="s">
        <v>1395</v>
      </c>
      <c r="D5" s="406" t="s">
        <v>1086</v>
      </c>
      <c r="E5" s="190" t="s">
        <v>49</v>
      </c>
    </row>
    <row r="6" spans="1:5" ht="15" customHeight="1" x14ac:dyDescent="0.25">
      <c r="A6" s="462" t="s">
        <v>61</v>
      </c>
      <c r="B6" s="403" t="str">
        <f>_xlfn.XLOOKUP(tbl_cleaning[[#This Row],[Scheme/Estate]],[1]!tbl_survey[Scheme Name],[1]!tbl_survey[Internal],"Not rated")</f>
        <v>Not rated</v>
      </c>
      <c r="C6" s="403" t="e">
        <f t="array" ref="C6">IF(DATEVALUE([1]!tbl_survey[Date of inspection])&gt;DATEVALUE(B2),_xlfn.XLOOKUP(tbl_cleaning[[#This Row],[Scheme/Estate]],[1]!tbl_survey[Scheme Name],[1]!tbl_survey[Internal],"Not rated"),"Not rated")</f>
        <v>#VALUE!</v>
      </c>
      <c r="D6" s="432" t="s">
        <v>1381</v>
      </c>
      <c r="E6" s="446" t="s">
        <v>60</v>
      </c>
    </row>
    <row r="7" spans="1:5" ht="15" customHeight="1" x14ac:dyDescent="0.25">
      <c r="A7" s="463" t="s">
        <v>71</v>
      </c>
      <c r="B7" s="403" t="str">
        <f>_xlfn.XLOOKUP(tbl_cleaning[[#This Row],[Scheme/Estate]],[1]!tbl_survey[Scheme Name],[1]!tbl_survey[Internal],"Not rated")</f>
        <v>Not rated</v>
      </c>
      <c r="C7" s="403" t="e">
        <f t="array" ref="C7">IF(DATEVALUE([1]!tbl_survey[Date of inspection])&gt;DATEVALUE(B3),_xlfn.XLOOKUP(tbl_cleaning[[#This Row],[Scheme/Estate]],[1]!tbl_survey[Scheme Name],[1]!tbl_survey[Internal],"Not rated"),"Not rated")</f>
        <v>#VALUE!</v>
      </c>
      <c r="D7" s="432" t="s">
        <v>1372</v>
      </c>
      <c r="E7" s="154" t="s">
        <v>60</v>
      </c>
    </row>
    <row r="8" spans="1:5" ht="15" customHeight="1" x14ac:dyDescent="0.25">
      <c r="A8" s="463" t="s">
        <v>77</v>
      </c>
      <c r="B8" s="403" t="str">
        <f>_xlfn.XLOOKUP(tbl_cleaning[[#This Row],[Scheme/Estate]],[1]!tbl_survey[Scheme Name],[1]!tbl_survey[Internal],"Not rated")</f>
        <v>Not rated</v>
      </c>
      <c r="C8" s="403" t="e">
        <f t="array" ref="C8">IF(DATEVALUE([1]!tbl_survey[Date of inspection])&gt;DATEVALUE(B4),_xlfn.XLOOKUP(tbl_cleaning[[#This Row],[Scheme/Estate]],[1]!tbl_survey[Scheme Name],[1]!tbl_survey[Internal],"Not rated"),"Not rated")</f>
        <v>#VALUE!</v>
      </c>
      <c r="D8" s="432" t="s">
        <v>1371</v>
      </c>
      <c r="E8" s="154" t="s">
        <v>58</v>
      </c>
    </row>
    <row r="9" spans="1:5" ht="15" customHeight="1" x14ac:dyDescent="0.25">
      <c r="A9" s="463" t="s">
        <v>82</v>
      </c>
      <c r="B9" s="403" t="str">
        <f>_xlfn.XLOOKUP(tbl_cleaning[[#This Row],[Scheme/Estate]],[1]!tbl_survey[Scheme Name],[1]!tbl_survey[Internal],"Not rated")</f>
        <v>Not rated</v>
      </c>
      <c r="C9" s="403" t="e">
        <f t="array" ref="C9">IF(DATEVALUE([1]!tbl_survey[Date of inspection])&gt;DATEVALUE(B5),_xlfn.XLOOKUP(tbl_cleaning[[#This Row],[Scheme/Estate]],[1]!tbl_survey[Scheme Name],[1]!tbl_survey[Internal],"Not rated"),"Not rated")</f>
        <v>#VALUE!</v>
      </c>
      <c r="D9" s="432" t="s">
        <v>1363</v>
      </c>
      <c r="E9" s="443" t="s">
        <v>58</v>
      </c>
    </row>
    <row r="10" spans="1:5" ht="15" customHeight="1" x14ac:dyDescent="0.25">
      <c r="A10" s="462" t="s">
        <v>86</v>
      </c>
      <c r="B10" s="403" t="str">
        <f>_xlfn.XLOOKUP(tbl_cleaning[[#This Row],[Scheme/Estate]],[1]!tbl_survey[Scheme Name],[1]!tbl_survey[Internal],"Not rated")</f>
        <v>Not rated</v>
      </c>
      <c r="C10" s="403" t="e">
        <f t="array" ref="C10">IF(DATEVALUE([1]!tbl_survey[Date of inspection])&gt;DATEVALUE(B6),_xlfn.XLOOKUP(tbl_cleaning[[#This Row],[Scheme/Estate]],[1]!tbl_survey[Scheme Name],[1]!tbl_survey[Internal],"Not rated"),"Not rated")</f>
        <v>#VALUE!</v>
      </c>
      <c r="D10" s="432" t="s">
        <v>1378</v>
      </c>
      <c r="E10" s="451" t="s">
        <v>87</v>
      </c>
    </row>
    <row r="11" spans="1:5" ht="15" customHeight="1" x14ac:dyDescent="0.25">
      <c r="A11" s="464" t="s">
        <v>91</v>
      </c>
      <c r="B11" s="403" t="str">
        <f>_xlfn.XLOOKUP(tbl_cleaning[[#This Row],[Scheme/Estate]],[1]!tbl_survey[Scheme Name],[1]!tbl_survey[Internal],"Not rated")</f>
        <v>Not rated</v>
      </c>
      <c r="C11" s="403" t="e">
        <f t="array" ref="C11">IF(DATEVALUE([1]!tbl_survey[Date of inspection])&gt;DATEVALUE(B7),_xlfn.XLOOKUP(tbl_cleaning[[#This Row],[Scheme/Estate]],[1]!tbl_survey[Scheme Name],[1]!tbl_survey[Internal],"Not rated"),"Not rated")</f>
        <v>#VALUE!</v>
      </c>
      <c r="D11" s="432" t="s">
        <v>1385</v>
      </c>
      <c r="E11" s="154" t="s">
        <v>93</v>
      </c>
    </row>
    <row r="12" spans="1:5" ht="15" customHeight="1" x14ac:dyDescent="0.25">
      <c r="A12" s="463" t="s">
        <v>94</v>
      </c>
      <c r="B12" s="403" t="str">
        <f>_xlfn.XLOOKUP(tbl_cleaning[[#This Row],[Scheme/Estate]],[1]!tbl_survey[Scheme Name],[1]!tbl_survey[Internal],"Not rated")</f>
        <v>Not rated</v>
      </c>
      <c r="C12" s="403" t="e">
        <f t="array" ref="C12">IF(DATEVALUE([1]!tbl_survey[Date of inspection])&gt;DATEVALUE(B8),_xlfn.XLOOKUP(tbl_cleaning[[#This Row],[Scheme/Estate]],[1]!tbl_survey[Scheme Name],[1]!tbl_survey[Internal],"Not rated"),"Not rated")</f>
        <v>#VALUE!</v>
      </c>
      <c r="D12" s="432" t="s">
        <v>1377</v>
      </c>
      <c r="E12" s="154" t="s">
        <v>93</v>
      </c>
    </row>
    <row r="13" spans="1:5" ht="15" customHeight="1" x14ac:dyDescent="0.25">
      <c r="A13" s="391" t="s">
        <v>96</v>
      </c>
      <c r="B13" s="403">
        <f>_xlfn.XLOOKUP(tbl_cleaning[[#This Row],[Scheme/Estate]],[1]!tbl_survey[Scheme Name],[1]!tbl_survey[Internal],"Not rated")</f>
        <v>3</v>
      </c>
      <c r="C13" s="403" t="e">
        <f t="array" ref="C13">IF(DATEVALUE([1]!tbl_survey[Date of inspection])&gt;DATEVALUE(B9),_xlfn.XLOOKUP(tbl_cleaning[[#This Row],[Scheme/Estate]],[1]!tbl_survey[Scheme Name],[1]!tbl_survey[Internal],"Not rated"),"Not rated")</f>
        <v>#VALUE!</v>
      </c>
      <c r="D13" s="432" t="s">
        <v>1371</v>
      </c>
      <c r="E13" s="154" t="s">
        <v>58</v>
      </c>
    </row>
    <row r="14" spans="1:5" ht="15" customHeight="1" x14ac:dyDescent="0.25">
      <c r="A14" s="462" t="s">
        <v>98</v>
      </c>
      <c r="B14" s="403" t="str">
        <f>_xlfn.XLOOKUP(tbl_cleaning[[#This Row],[Scheme/Estate]],[1]!tbl_survey[Scheme Name],[1]!tbl_survey[Internal],"Not rated")</f>
        <v>Not rated</v>
      </c>
      <c r="C14" s="403" t="e">
        <f t="array" ref="C14">IF(DATEVALUE([1]!tbl_survey[Date of inspection])&gt;DATEVALUE(B10),_xlfn.XLOOKUP(tbl_cleaning[[#This Row],[Scheme/Estate]],[1]!tbl_survey[Scheme Name],[1]!tbl_survey[Internal],"Not rated"),"Not rated")</f>
        <v>#VALUE!</v>
      </c>
      <c r="D14" s="432" t="s">
        <v>1368</v>
      </c>
      <c r="E14" s="449" t="s">
        <v>60</v>
      </c>
    </row>
    <row r="15" spans="1:5" ht="15" customHeight="1" x14ac:dyDescent="0.25">
      <c r="A15" s="465" t="s">
        <v>1321</v>
      </c>
      <c r="B15" s="403" t="str">
        <f>_xlfn.XLOOKUP(tbl_cleaning[[#This Row],[Scheme/Estate]],[1]!tbl_survey[Scheme Name],[1]!tbl_survey[Internal],"Not rated")</f>
        <v>Not rated</v>
      </c>
      <c r="C15" s="403" t="e">
        <f t="array" ref="C15">IF(DATEVALUE([1]!tbl_survey[Date of inspection])&gt;DATEVALUE(B11),_xlfn.XLOOKUP(tbl_cleaning[[#This Row],[Scheme/Estate]],[1]!tbl_survey[Scheme Name],[1]!tbl_survey[Internal],"Not rated"),"Not rated")</f>
        <v>#VALUE!</v>
      </c>
      <c r="D15" s="432" t="s">
        <v>1381</v>
      </c>
      <c r="E15" s="154" t="s">
        <v>60</v>
      </c>
    </row>
    <row r="16" spans="1:5" ht="32.450000000000003" customHeight="1" x14ac:dyDescent="0.25">
      <c r="A16" s="392" t="s">
        <v>102</v>
      </c>
      <c r="B16" s="403" t="str">
        <f>_xlfn.XLOOKUP(tbl_cleaning[[#This Row],[Scheme/Estate]],[1]!tbl_survey[Scheme Name],[1]!tbl_survey[Internal],"Not rated")</f>
        <v>Not rated</v>
      </c>
      <c r="C16" s="403" t="e">
        <f t="array" ref="C16">IF(DATEVALUE([1]!tbl_survey[Date of inspection])&gt;DATEVALUE(B12),_xlfn.XLOOKUP(tbl_cleaning[[#This Row],[Scheme/Estate]],[1]!tbl_survey[Scheme Name],[1]!tbl_survey[Internal],"Not rated"),"Not rated")</f>
        <v>#VALUE!</v>
      </c>
      <c r="D16" s="432" t="s">
        <v>1383</v>
      </c>
      <c r="E16" s="154" t="s">
        <v>87</v>
      </c>
    </row>
    <row r="17" spans="1:5" ht="15" customHeight="1" x14ac:dyDescent="0.25">
      <c r="A17" s="391" t="s">
        <v>103</v>
      </c>
      <c r="B17" s="403" t="str">
        <f>_xlfn.XLOOKUP(tbl_cleaning[[#This Row],[Scheme/Estate]],[1]!tbl_survey[Scheme Name],[1]!tbl_survey[Internal],"Not rated")</f>
        <v>Not rated</v>
      </c>
      <c r="C17" s="403" t="e">
        <f t="array" ref="C17">IF(DATEVALUE([1]!tbl_survey[Date of inspection])&gt;DATEVALUE(B13),_xlfn.XLOOKUP(tbl_cleaning[[#This Row],[Scheme/Estate]],[1]!tbl_survey[Scheme Name],[1]!tbl_survey[Internal],"Not rated"),"Not rated")</f>
        <v>#VALUE!</v>
      </c>
      <c r="D17" s="432" t="s">
        <v>1376</v>
      </c>
      <c r="E17" s="154" t="s">
        <v>60</v>
      </c>
    </row>
    <row r="18" spans="1:5" ht="15" customHeight="1" x14ac:dyDescent="0.25">
      <c r="A18" s="462" t="s">
        <v>104</v>
      </c>
      <c r="B18" s="403" t="str">
        <f>_xlfn.XLOOKUP(tbl_cleaning[[#This Row],[Scheme/Estate]],[1]!tbl_survey[Scheme Name],[1]!tbl_survey[Internal],"Not rated")</f>
        <v>Not rated</v>
      </c>
      <c r="C18" s="403" t="e">
        <f t="array" ref="C18">IF(DATEVALUE([1]!tbl_survey[Date of inspection])&gt;DATEVALUE(B14),_xlfn.XLOOKUP(tbl_cleaning[[#This Row],[Scheme/Estate]],[1]!tbl_survey[Scheme Name],[1]!tbl_survey[Internal],"Not rated"),"Not rated")</f>
        <v>#VALUE!</v>
      </c>
      <c r="D18" s="432" t="s">
        <v>1365</v>
      </c>
      <c r="E18" s="443" t="s">
        <v>87</v>
      </c>
    </row>
    <row r="19" spans="1:5" s="21" customFormat="1" ht="15" customHeight="1" x14ac:dyDescent="0.25">
      <c r="A19" s="466" t="s">
        <v>1399</v>
      </c>
      <c r="B19" s="403" t="str">
        <f>_xlfn.XLOOKUP(tbl_cleaning[[#This Row],[Scheme/Estate]],[1]!tbl_survey[Scheme Name],[1]!tbl_survey[Internal],"Not rated")</f>
        <v>Not rated</v>
      </c>
      <c r="C19" s="403" t="e">
        <f t="array" ref="C19">IF(DATEVALUE([1]!tbl_survey[Date of inspection])&gt;DATEVALUE(B15),_xlfn.XLOOKUP(tbl_cleaning[[#This Row],[Scheme/Estate]],[1]!tbl_survey[Scheme Name],[1]!tbl_survey[Internal],"Not rated"),"Not rated")</f>
        <v>#VALUE!</v>
      </c>
      <c r="D19" s="432" t="s">
        <v>1372</v>
      </c>
      <c r="E19" s="451" t="s">
        <v>361</v>
      </c>
    </row>
    <row r="20" spans="1:5" s="21" customFormat="1" ht="15" customHeight="1" x14ac:dyDescent="0.25">
      <c r="A20" s="467" t="s">
        <v>106</v>
      </c>
      <c r="B20" s="403" t="str">
        <f>_xlfn.XLOOKUP(tbl_cleaning[[#This Row],[Scheme/Estate]],[1]!tbl_survey[Scheme Name],[1]!tbl_survey[Internal],"Not rated")</f>
        <v>Not rated</v>
      </c>
      <c r="C20" s="403" t="e">
        <f t="array" ref="C20">IF(DATEVALUE([1]!tbl_survey[Date of inspection])&gt;DATEVALUE(B16),_xlfn.XLOOKUP(tbl_cleaning[[#This Row],[Scheme/Estate]],[1]!tbl_survey[Scheme Name],[1]!tbl_survey[Internal],"Not rated"),"Not rated")</f>
        <v>#VALUE!</v>
      </c>
      <c r="D20" s="432" t="s">
        <v>1378</v>
      </c>
      <c r="E20" s="443" t="s">
        <v>87</v>
      </c>
    </row>
    <row r="21" spans="1:5" s="21" customFormat="1" ht="15" customHeight="1" x14ac:dyDescent="0.25">
      <c r="A21" s="462" t="s">
        <v>108</v>
      </c>
      <c r="B21" s="403" t="str">
        <f>_xlfn.XLOOKUP(tbl_cleaning[[#This Row],[Scheme/Estate]],[1]!tbl_survey[Scheme Name],[1]!tbl_survey[Internal],"Not rated")</f>
        <v>Not rated</v>
      </c>
      <c r="C21" s="403" t="e">
        <f t="array" ref="C21">IF(DATEVALUE([1]!tbl_survey[Date of inspection])&gt;DATEVALUE(B17),_xlfn.XLOOKUP(tbl_cleaning[[#This Row],[Scheme/Estate]],[1]!tbl_survey[Scheme Name],[1]!tbl_survey[Internal],"Not rated"),"Not rated")</f>
        <v>#VALUE!</v>
      </c>
      <c r="D21" s="432" t="s">
        <v>1383</v>
      </c>
      <c r="E21" s="451" t="s">
        <v>87</v>
      </c>
    </row>
    <row r="22" spans="1:5" ht="15" customHeight="1" x14ac:dyDescent="0.25">
      <c r="A22" s="391" t="s">
        <v>109</v>
      </c>
      <c r="B22" s="403" t="str">
        <f>_xlfn.XLOOKUP(tbl_cleaning[[#This Row],[Scheme/Estate]],[1]!tbl_survey[Scheme Name],[1]!tbl_survey[Internal],"Not rated")</f>
        <v>Not rated</v>
      </c>
      <c r="C22" s="403" t="e">
        <f t="array" ref="C22">IF(DATEVALUE([1]!tbl_survey[Date of inspection])&gt;DATEVALUE(B18),_xlfn.XLOOKUP(tbl_cleaning[[#This Row],[Scheme/Estate]],[1]!tbl_survey[Scheme Name],[1]!tbl_survey[Internal],"Not rated"),"Not rated")</f>
        <v>#VALUE!</v>
      </c>
      <c r="D22" s="432" t="s">
        <v>1363</v>
      </c>
      <c r="E22" s="154" t="s">
        <v>58</v>
      </c>
    </row>
    <row r="23" spans="1:5" ht="15" customHeight="1" x14ac:dyDescent="0.25">
      <c r="A23" s="462" t="s">
        <v>111</v>
      </c>
      <c r="B23" s="403">
        <f>_xlfn.XLOOKUP(tbl_cleaning[[#This Row],[Scheme/Estate]],[1]!tbl_survey[Scheme Name],[1]!tbl_survey[Internal],"Not rated")</f>
        <v>3</v>
      </c>
      <c r="C23" s="403" t="e">
        <f t="array" ref="C23">IF(DATEVALUE([1]!tbl_survey[Date of inspection])&gt;DATEVALUE(B19),_xlfn.XLOOKUP(tbl_cleaning[[#This Row],[Scheme/Estate]],[1]!tbl_survey[Scheme Name],[1]!tbl_survey[Internal],"Not rated"),"Not rated")</f>
        <v>#VALUE!</v>
      </c>
      <c r="D23" s="432" t="s">
        <v>1369</v>
      </c>
      <c r="E23" s="449" t="s">
        <v>58</v>
      </c>
    </row>
    <row r="24" spans="1:5" s="21" customFormat="1" ht="15" customHeight="1" x14ac:dyDescent="0.25">
      <c r="A24" s="391" t="s">
        <v>115</v>
      </c>
      <c r="B24" s="403" t="str">
        <f>_xlfn.XLOOKUP(tbl_cleaning[[#This Row],[Scheme/Estate]],[1]!tbl_survey[Scheme Name],[1]!tbl_survey[Internal],"Not rated")</f>
        <v>Not rated</v>
      </c>
      <c r="C24" s="403" t="e">
        <f t="array" ref="C24">IF(DATEVALUE([1]!tbl_survey[Date of inspection])&gt;DATEVALUE(B20),_xlfn.XLOOKUP(tbl_cleaning[[#This Row],[Scheme/Estate]],[1]!tbl_survey[Scheme Name],[1]!tbl_survey[Internal],"Not rated"),"Not rated")</f>
        <v>#VALUE!</v>
      </c>
      <c r="D24" s="432" t="s">
        <v>1372</v>
      </c>
      <c r="E24" s="113" t="s">
        <v>60</v>
      </c>
    </row>
    <row r="25" spans="1:5" ht="15" customHeight="1" x14ac:dyDescent="0.25">
      <c r="A25" s="468" t="s">
        <v>118</v>
      </c>
      <c r="B25" s="403" t="str">
        <f>_xlfn.XLOOKUP(tbl_cleaning[[#This Row],[Scheme/Estate]],[1]!tbl_survey[Scheme Name],[1]!tbl_survey[Internal],"Not rated")</f>
        <v>Not rated</v>
      </c>
      <c r="C25" s="403" t="e">
        <f t="array" ref="C25">IF(DATEVALUE([1]!tbl_survey[Date of inspection])&gt;DATEVALUE(B21),_xlfn.XLOOKUP(tbl_cleaning[[#This Row],[Scheme/Estate]],[1]!tbl_survey[Scheme Name],[1]!tbl_survey[Internal],"Not rated"),"Not rated")</f>
        <v>#VALUE!</v>
      </c>
      <c r="D25" s="432" t="s">
        <v>1377</v>
      </c>
      <c r="E25" s="154" t="s">
        <v>93</v>
      </c>
    </row>
    <row r="26" spans="1:5" ht="15" customHeight="1" x14ac:dyDescent="0.25">
      <c r="A26" s="464" t="s">
        <v>124</v>
      </c>
      <c r="B26" s="403" t="str">
        <f>_xlfn.XLOOKUP(tbl_cleaning[[#This Row],[Scheme/Estate]],[1]!tbl_survey[Scheme Name],[1]!tbl_survey[Internal],"Not rated")</f>
        <v>Not rated</v>
      </c>
      <c r="C26" s="403" t="e">
        <f t="array" ref="C26">IF(DATEVALUE([1]!tbl_survey[Date of inspection])&gt;DATEVALUE(B22),_xlfn.XLOOKUP(tbl_cleaning[[#This Row],[Scheme/Estate]],[1]!tbl_survey[Scheme Name],[1]!tbl_survey[Internal],"Not rated"),"Not rated")</f>
        <v>#VALUE!</v>
      </c>
      <c r="D26" s="432" t="s">
        <v>1386</v>
      </c>
      <c r="E26" s="154" t="s">
        <v>93</v>
      </c>
    </row>
    <row r="27" spans="1:5" ht="15" customHeight="1" x14ac:dyDescent="0.25">
      <c r="A27" s="462" t="s">
        <v>126</v>
      </c>
      <c r="B27" s="403" t="str">
        <f>_xlfn.XLOOKUP(tbl_cleaning[[#This Row],[Scheme/Estate]],[1]!tbl_survey[Scheme Name],[1]!tbl_survey[Internal],"Not rated")</f>
        <v>Not rated</v>
      </c>
      <c r="C27" s="403" t="e">
        <f t="array" ref="C27">IF(DATEVALUE([1]!tbl_survey[Date of inspection])&gt;DATEVALUE(B23),_xlfn.XLOOKUP(tbl_cleaning[[#This Row],[Scheme/Estate]],[1]!tbl_survey[Scheme Name],[1]!tbl_survey[Internal],"Not rated"),"Not rated")</f>
        <v>#VALUE!</v>
      </c>
      <c r="D27" s="432" t="s">
        <v>1368</v>
      </c>
      <c r="E27" s="154" t="s">
        <v>60</v>
      </c>
    </row>
    <row r="28" spans="1:5" ht="15" customHeight="1" x14ac:dyDescent="0.25">
      <c r="A28" s="391" t="s">
        <v>127</v>
      </c>
      <c r="B28" s="403" t="str">
        <f>_xlfn.XLOOKUP(tbl_cleaning[[#This Row],[Scheme/Estate]],[1]!tbl_survey[Scheme Name],[1]!tbl_survey[Internal],"Not rated")</f>
        <v>Not rated</v>
      </c>
      <c r="C28" s="403" t="e">
        <f t="array" ref="C28">IF(DATEVALUE([1]!tbl_survey[Date of inspection])&gt;DATEVALUE(B24),_xlfn.XLOOKUP(tbl_cleaning[[#This Row],[Scheme/Estate]],[1]!tbl_survey[Scheme Name],[1]!tbl_survey[Internal],"Not rated"),"Not rated")</f>
        <v>#VALUE!</v>
      </c>
      <c r="D28" s="432" t="s">
        <v>1383</v>
      </c>
      <c r="E28" s="450" t="s">
        <v>87</v>
      </c>
    </row>
    <row r="29" spans="1:5" ht="15" customHeight="1" x14ac:dyDescent="0.25">
      <c r="A29" s="391" t="s">
        <v>128</v>
      </c>
      <c r="B29" s="403" t="str">
        <f>_xlfn.XLOOKUP(tbl_cleaning[[#This Row],[Scheme/Estate]],[1]!tbl_survey[Scheme Name],[1]!tbl_survey[Internal],"Not rated")</f>
        <v>Not rated</v>
      </c>
      <c r="C29" s="403" t="e">
        <f t="array" ref="C29">IF(DATEVALUE([1]!tbl_survey[Date of inspection])&gt;DATEVALUE(B25),_xlfn.XLOOKUP(tbl_cleaning[[#This Row],[Scheme/Estate]],[1]!tbl_survey[Scheme Name],[1]!tbl_survey[Internal],"Not rated"),"Not rated")</f>
        <v>#VALUE!</v>
      </c>
      <c r="D29" s="432" t="s">
        <v>1383</v>
      </c>
      <c r="E29" s="446" t="s">
        <v>87</v>
      </c>
    </row>
    <row r="30" spans="1:5" ht="15" customHeight="1" x14ac:dyDescent="0.25">
      <c r="A30" s="463" t="s">
        <v>129</v>
      </c>
      <c r="B30" s="403" t="str">
        <f>_xlfn.XLOOKUP(tbl_cleaning[[#This Row],[Scheme/Estate]],[1]!tbl_survey[Scheme Name],[1]!tbl_survey[Internal],"Not rated")</f>
        <v>Not rated</v>
      </c>
      <c r="C30" s="403" t="e">
        <f t="array" ref="C30">IF(DATEVALUE([1]!tbl_survey[Date of inspection])&gt;DATEVALUE(B26),_xlfn.XLOOKUP(tbl_cleaning[[#This Row],[Scheme/Estate]],[1]!tbl_survey[Scheme Name],[1]!tbl_survey[Internal],"Not rated"),"Not rated")</f>
        <v>#VALUE!</v>
      </c>
      <c r="D30" s="432" t="s">
        <v>1376</v>
      </c>
      <c r="E30" s="154" t="s">
        <v>60</v>
      </c>
    </row>
    <row r="31" spans="1:5" ht="15" customHeight="1" x14ac:dyDescent="0.25">
      <c r="A31" s="391" t="s">
        <v>131</v>
      </c>
      <c r="B31" s="403" t="str">
        <f>_xlfn.XLOOKUP(tbl_cleaning[[#This Row],[Scheme/Estate]],[1]!tbl_survey[Scheme Name],[1]!tbl_survey[Internal],"Not rated")</f>
        <v>Not rated</v>
      </c>
      <c r="C31" s="403" t="e">
        <f t="array" ref="C31">IF(DATEVALUE([1]!tbl_survey[Date of inspection])&gt;DATEVALUE(B27),_xlfn.XLOOKUP(tbl_cleaning[[#This Row],[Scheme/Estate]],[1]!tbl_survey[Scheme Name],[1]!tbl_survey[Internal],"Not rated"),"Not rated")</f>
        <v>#VALUE!</v>
      </c>
      <c r="D31" s="432" t="s">
        <v>1376</v>
      </c>
      <c r="E31" s="450" t="s">
        <v>60</v>
      </c>
    </row>
    <row r="32" spans="1:5" ht="15" customHeight="1" x14ac:dyDescent="0.25">
      <c r="A32" s="466" t="s">
        <v>1398</v>
      </c>
      <c r="B32" s="403" t="str">
        <f>_xlfn.XLOOKUP(tbl_cleaning[[#This Row],[Scheme/Estate]],[1]!tbl_survey[Scheme Name],[1]!tbl_survey[Internal],"Not rated")</f>
        <v>Not rated</v>
      </c>
      <c r="C32" s="403" t="e">
        <f t="array" ref="C32">IF(DATEVALUE([1]!tbl_survey[Date of inspection])&gt;DATEVALUE(B28),_xlfn.XLOOKUP(tbl_cleaning[[#This Row],[Scheme/Estate]],[1]!tbl_survey[Scheme Name],[1]!tbl_survey[Internal],"Not rated"),"Not rated")</f>
        <v>#VALUE!</v>
      </c>
      <c r="D32" s="432" t="s">
        <v>1372</v>
      </c>
      <c r="E32" s="448" t="s">
        <v>60</v>
      </c>
    </row>
    <row r="33" spans="1:5" ht="15" customHeight="1" x14ac:dyDescent="0.25">
      <c r="A33" s="391" t="s">
        <v>135</v>
      </c>
      <c r="B33" s="403">
        <f>_xlfn.XLOOKUP(tbl_cleaning[[#This Row],[Scheme/Estate]],[1]!tbl_survey[Scheme Name],[1]!tbl_survey[Internal],"Not rated")</f>
        <v>3</v>
      </c>
      <c r="C33" s="403" t="e">
        <f t="array" ref="C33">IF(DATEVALUE([1]!tbl_survey[Date of inspection])&gt;DATEVALUE(B29),_xlfn.XLOOKUP(tbl_cleaning[[#This Row],[Scheme/Estate]],[1]!tbl_survey[Scheme Name],[1]!tbl_survey[Internal],"Not rated"),"Not rated")</f>
        <v>#VALUE!</v>
      </c>
      <c r="D33" s="432" t="s">
        <v>1379</v>
      </c>
      <c r="E33" s="447" t="s">
        <v>58</v>
      </c>
    </row>
    <row r="34" spans="1:5" ht="15" customHeight="1" x14ac:dyDescent="0.25">
      <c r="A34" s="391" t="s">
        <v>137</v>
      </c>
      <c r="B34" s="403">
        <f>_xlfn.XLOOKUP(tbl_cleaning[[#This Row],[Scheme/Estate]],[1]!tbl_survey[Scheme Name],[1]!tbl_survey[Internal],"Not rated")</f>
        <v>3</v>
      </c>
      <c r="C34" s="403" t="e">
        <f t="array" ref="C34">IF(DATEVALUE([1]!tbl_survey[Date of inspection])&gt;DATEVALUE(B30),_xlfn.XLOOKUP(tbl_cleaning[[#This Row],[Scheme/Estate]],[1]!tbl_survey[Scheme Name],[1]!tbl_survey[Internal],"Not rated"),"Not rated")</f>
        <v>#VALUE!</v>
      </c>
      <c r="D34" s="432" t="s">
        <v>1379</v>
      </c>
      <c r="E34" s="447" t="s">
        <v>58</v>
      </c>
    </row>
    <row r="35" spans="1:5" ht="15" customHeight="1" x14ac:dyDescent="0.25">
      <c r="A35" s="462" t="s">
        <v>138</v>
      </c>
      <c r="B35" s="403" t="str">
        <f>_xlfn.XLOOKUP(tbl_cleaning[[#This Row],[Scheme/Estate]],[1]!tbl_survey[Scheme Name],[1]!tbl_survey[Internal],"Not rated")</f>
        <v>Not rated</v>
      </c>
      <c r="C35" s="403" t="e">
        <f t="array" ref="C35">IF(DATEVALUE([1]!tbl_survey[Date of inspection])&gt;DATEVALUE(B31),_xlfn.XLOOKUP(tbl_cleaning[[#This Row],[Scheme/Estate]],[1]!tbl_survey[Scheme Name],[1]!tbl_survey[Internal],"Not rated"),"Not rated")</f>
        <v>#VALUE!</v>
      </c>
      <c r="D35" s="432" t="s">
        <v>1378</v>
      </c>
      <c r="E35" s="452" t="s">
        <v>87</v>
      </c>
    </row>
    <row r="36" spans="1:5" ht="15" customHeight="1" x14ac:dyDescent="0.25">
      <c r="A36" s="391" t="s">
        <v>141</v>
      </c>
      <c r="B36" s="403">
        <f>_xlfn.XLOOKUP(tbl_cleaning[[#This Row],[Scheme/Estate]],[1]!tbl_survey[Scheme Name],[1]!tbl_survey[Internal],"Not rated")</f>
        <v>3</v>
      </c>
      <c r="C36" s="403" t="e">
        <f t="array" ref="C36">IF(DATEVALUE([1]!tbl_survey[Date of inspection])&gt;DATEVALUE(B32),_xlfn.XLOOKUP(tbl_cleaning[[#This Row],[Scheme/Estate]],[1]!tbl_survey[Scheme Name],[1]!tbl_survey[Internal],"Not rated"),"Not rated")</f>
        <v>#VALUE!</v>
      </c>
      <c r="D36" s="432" t="s">
        <v>1379</v>
      </c>
      <c r="E36" s="154" t="s">
        <v>58</v>
      </c>
    </row>
    <row r="37" spans="1:5" ht="15" customHeight="1" x14ac:dyDescent="0.25">
      <c r="A37" s="468" t="s">
        <v>142</v>
      </c>
      <c r="B37" s="403" t="str">
        <f>_xlfn.XLOOKUP(tbl_cleaning[[#This Row],[Scheme/Estate]],[1]!tbl_survey[Scheme Name],[1]!tbl_survey[Internal],"Not rated")</f>
        <v>Not rated</v>
      </c>
      <c r="C37" s="403" t="e">
        <f t="array" ref="C37">IF(DATEVALUE([1]!tbl_survey[Date of inspection])&gt;DATEVALUE(B33),_xlfn.XLOOKUP(tbl_cleaning[[#This Row],[Scheme/Estate]],[1]!tbl_survey[Scheme Name],[1]!tbl_survey[Internal],"Not rated"),"Not rated")</f>
        <v>#VALUE!</v>
      </c>
      <c r="D37" s="432" t="s">
        <v>1366</v>
      </c>
      <c r="E37" s="450" t="s">
        <v>87</v>
      </c>
    </row>
    <row r="38" spans="1:5" ht="15" customHeight="1" x14ac:dyDescent="0.25">
      <c r="A38" s="462" t="s">
        <v>144</v>
      </c>
      <c r="B38" s="403">
        <f>_xlfn.XLOOKUP(tbl_cleaning[[#This Row],[Scheme/Estate]],[1]!tbl_survey[Scheme Name],[1]!tbl_survey[Internal],"Not rated")</f>
        <v>3</v>
      </c>
      <c r="C38" s="403" t="e">
        <f t="array" ref="C38">IF(DATEVALUE([1]!tbl_survey[Date of inspection])&gt;DATEVALUE(B34),_xlfn.XLOOKUP(tbl_cleaning[[#This Row],[Scheme/Estate]],[1]!tbl_survey[Scheme Name],[1]!tbl_survey[Internal],"Not rated"),"Not rated")</f>
        <v>#VALUE!</v>
      </c>
      <c r="D38" s="432" t="s">
        <v>1380</v>
      </c>
      <c r="E38" s="446" t="s">
        <v>60</v>
      </c>
    </row>
    <row r="39" spans="1:5" ht="15" customHeight="1" x14ac:dyDescent="0.25">
      <c r="A39" s="462" t="s">
        <v>146</v>
      </c>
      <c r="B39" s="403" t="str">
        <f>_xlfn.XLOOKUP(tbl_cleaning[[#This Row],[Scheme/Estate]],[1]!tbl_survey[Scheme Name],[1]!tbl_survey[Internal],"Not rated")</f>
        <v>Not rated</v>
      </c>
      <c r="C39" s="403" t="e">
        <f t="array" ref="C39">IF(DATEVALUE([1]!tbl_survey[Date of inspection])&gt;DATEVALUE(B35),_xlfn.XLOOKUP(tbl_cleaning[[#This Row],[Scheme/Estate]],[1]!tbl_survey[Scheme Name],[1]!tbl_survey[Internal],"Not rated"),"Not rated")</f>
        <v>#VALUE!</v>
      </c>
      <c r="D39" s="432" t="s">
        <v>1372</v>
      </c>
      <c r="E39" s="154" t="s">
        <v>60</v>
      </c>
    </row>
    <row r="40" spans="1:5" ht="15" customHeight="1" x14ac:dyDescent="0.25">
      <c r="A40" s="467" t="s">
        <v>995</v>
      </c>
      <c r="B40" s="403" t="str">
        <f>_xlfn.XLOOKUP(tbl_cleaning[[#This Row],[Scheme/Estate]],[1]!tbl_survey[Scheme Name],[1]!tbl_survey[Internal],"Not rated")</f>
        <v>Not rated</v>
      </c>
      <c r="C40" s="403" t="e">
        <f t="array" ref="C40">IF(DATEVALUE([1]!tbl_survey[Date of inspection])&gt;DATEVALUE(B36),_xlfn.XLOOKUP(tbl_cleaning[[#This Row],[Scheme/Estate]],[1]!tbl_survey[Scheme Name],[1]!tbl_survey[Internal],"Not rated"),"Not rated")</f>
        <v>#VALUE!</v>
      </c>
      <c r="D40" s="432" t="s">
        <v>1375</v>
      </c>
      <c r="E40" s="449" t="s">
        <v>60</v>
      </c>
    </row>
    <row r="41" spans="1:5" ht="17.25" customHeight="1" x14ac:dyDescent="0.25">
      <c r="A41" s="469" t="s">
        <v>147</v>
      </c>
      <c r="B41" s="403" t="str">
        <f>_xlfn.XLOOKUP(tbl_cleaning[[#This Row],[Scheme/Estate]],[1]!tbl_survey[Scheme Name],[1]!tbl_survey[Internal],"Not rated")</f>
        <v>Not rated</v>
      </c>
      <c r="C41" s="403" t="e">
        <f t="array" ref="C41">IF(DATEVALUE([1]!tbl_survey[Date of inspection])&gt;DATEVALUE(B37),_xlfn.XLOOKUP(tbl_cleaning[[#This Row],[Scheme/Estate]],[1]!tbl_survey[Scheme Name],[1]!tbl_survey[Internal],"Not rated"),"Not rated")</f>
        <v>#VALUE!</v>
      </c>
      <c r="D41" s="432" t="s">
        <v>1368</v>
      </c>
      <c r="E41" s="154" t="s">
        <v>60</v>
      </c>
    </row>
    <row r="42" spans="1:5" ht="19.5" customHeight="1" x14ac:dyDescent="0.25">
      <c r="A42" s="462" t="s">
        <v>149</v>
      </c>
      <c r="B42" s="403" t="str">
        <f>_xlfn.XLOOKUP(tbl_cleaning[[#This Row],[Scheme/Estate]],[1]!tbl_survey[Scheme Name],[1]!tbl_survey[Internal],"Not rated")</f>
        <v>Not rated</v>
      </c>
      <c r="C42" s="403" t="e">
        <f t="array" ref="C42">IF(DATEVALUE([1]!tbl_survey[Date of inspection])&gt;DATEVALUE(B38),_xlfn.XLOOKUP(tbl_cleaning[[#This Row],[Scheme/Estate]],[1]!tbl_survey[Scheme Name],[1]!tbl_survey[Internal],"Not rated"),"Not rated")</f>
        <v>#VALUE!</v>
      </c>
      <c r="D42" s="432" t="s">
        <v>1383</v>
      </c>
      <c r="E42" s="443" t="s">
        <v>87</v>
      </c>
    </row>
    <row r="43" spans="1:5" ht="15" customHeight="1" x14ac:dyDescent="0.25">
      <c r="A43" s="462" t="s">
        <v>150</v>
      </c>
      <c r="B43" s="403" t="str">
        <f>_xlfn.XLOOKUP(tbl_cleaning[[#This Row],[Scheme/Estate]],[1]!tbl_survey[Scheme Name],[1]!tbl_survey[Internal],"Not rated")</f>
        <v>Not rated</v>
      </c>
      <c r="C43" s="403" t="e">
        <f t="array" ref="C43">IF(DATEVALUE([1]!tbl_survey[Date of inspection])&gt;DATEVALUE(B39),_xlfn.XLOOKUP(tbl_cleaning[[#This Row],[Scheme/Estate]],[1]!tbl_survey[Scheme Name],[1]!tbl_survey[Internal],"Not rated"),"Not rated")</f>
        <v>#VALUE!</v>
      </c>
      <c r="D43" s="432" t="s">
        <v>1378</v>
      </c>
      <c r="E43" s="443" t="s">
        <v>87</v>
      </c>
    </row>
    <row r="44" spans="1:5" ht="15" customHeight="1" x14ac:dyDescent="0.25">
      <c r="A44" s="463" t="s">
        <v>151</v>
      </c>
      <c r="B44" s="403" t="str">
        <f>_xlfn.XLOOKUP(tbl_cleaning[[#This Row],[Scheme/Estate]],[1]!tbl_survey[Scheme Name],[1]!tbl_survey[Internal],"Not rated")</f>
        <v>Not rated</v>
      </c>
      <c r="C44" s="403" t="e">
        <f t="array" ref="C44">IF(DATEVALUE([1]!tbl_survey[Date of inspection])&gt;DATEVALUE(B40),_xlfn.XLOOKUP(tbl_cleaning[[#This Row],[Scheme/Estate]],[1]!tbl_survey[Scheme Name],[1]!tbl_survey[Internal],"Not rated"),"Not rated")</f>
        <v>#VALUE!</v>
      </c>
      <c r="D44" s="432" t="s">
        <v>1379</v>
      </c>
      <c r="E44" s="154" t="s">
        <v>58</v>
      </c>
    </row>
    <row r="45" spans="1:5" ht="15" customHeight="1" x14ac:dyDescent="0.25">
      <c r="A45" s="463" t="s">
        <v>153</v>
      </c>
      <c r="B45" s="403" t="str">
        <f>_xlfn.XLOOKUP(tbl_cleaning[[#This Row],[Scheme/Estate]],[1]!tbl_survey[Scheme Name],[1]!tbl_survey[Internal],"Not rated")</f>
        <v>Not rated</v>
      </c>
      <c r="C45" s="403" t="e">
        <f t="array" ref="C45">IF(DATEVALUE([1]!tbl_survey[Date of inspection])&gt;DATEVALUE(B41),_xlfn.XLOOKUP(tbl_cleaning[[#This Row],[Scheme/Estate]],[1]!tbl_survey[Scheme Name],[1]!tbl_survey[Internal],"Not rated"),"Not rated")</f>
        <v>#VALUE!</v>
      </c>
      <c r="D45" s="432" t="s">
        <v>1379</v>
      </c>
      <c r="E45" s="154" t="s">
        <v>58</v>
      </c>
    </row>
    <row r="46" spans="1:5" ht="15" customHeight="1" x14ac:dyDescent="0.25">
      <c r="A46" s="470" t="s">
        <v>154</v>
      </c>
      <c r="B46" s="403" t="str">
        <f>_xlfn.XLOOKUP(tbl_cleaning[[#This Row],[Scheme/Estate]],[1]!tbl_survey[Scheme Name],[1]!tbl_survey[Internal],"Not rated")</f>
        <v>Not rated</v>
      </c>
      <c r="C46" s="403" t="e">
        <f t="array" ref="C46">IF(DATEVALUE([1]!tbl_survey[Date of inspection])&gt;DATEVALUE(B42),_xlfn.XLOOKUP(tbl_cleaning[[#This Row],[Scheme/Estate]],[1]!tbl_survey[Scheme Name],[1]!tbl_survey[Internal],"Not rated"),"Not rated")</f>
        <v>#VALUE!</v>
      </c>
      <c r="D46" s="432" t="s">
        <v>1380</v>
      </c>
      <c r="E46" s="154" t="s">
        <v>60</v>
      </c>
    </row>
    <row r="47" spans="1:5" ht="15" customHeight="1" x14ac:dyDescent="0.25">
      <c r="A47" s="462" t="s">
        <v>157</v>
      </c>
      <c r="B47" s="403" t="str">
        <f>_xlfn.XLOOKUP(tbl_cleaning[[#This Row],[Scheme/Estate]],[1]!tbl_survey[Scheme Name],[1]!tbl_survey[Internal],"Not rated")</f>
        <v>Not rated</v>
      </c>
      <c r="C47" s="403" t="e">
        <f t="array" ref="C47">IF(DATEVALUE([1]!tbl_survey[Date of inspection])&gt;DATEVALUE(B43),_xlfn.XLOOKUP(tbl_cleaning[[#This Row],[Scheme/Estate]],[1]!tbl_survey[Scheme Name],[1]!tbl_survey[Internal],"Not rated"),"Not rated")</f>
        <v>#VALUE!</v>
      </c>
      <c r="D47" s="432" t="s">
        <v>1378</v>
      </c>
      <c r="E47" s="443" t="s">
        <v>87</v>
      </c>
    </row>
    <row r="48" spans="1:5" s="21" customFormat="1" ht="15" customHeight="1" x14ac:dyDescent="0.25">
      <c r="A48" s="467" t="s">
        <v>160</v>
      </c>
      <c r="B48" s="403">
        <f>_xlfn.XLOOKUP(tbl_cleaning[[#This Row],[Scheme/Estate]],[1]!tbl_survey[Scheme Name],[1]!tbl_survey[Internal],"Not rated")</f>
        <v>3</v>
      </c>
      <c r="C48" s="403" t="e">
        <f t="array" ref="C48">IF(DATEVALUE([1]!tbl_survey[Date of inspection])&gt;DATEVALUE(B44),_xlfn.XLOOKUP(tbl_cleaning[[#This Row],[Scheme/Estate]],[1]!tbl_survey[Scheme Name],[1]!tbl_survey[Internal],"Not rated"),"Not rated")</f>
        <v>#VALUE!</v>
      </c>
      <c r="D48" s="432" t="s">
        <v>1376</v>
      </c>
      <c r="E48" s="450" t="s">
        <v>60</v>
      </c>
    </row>
    <row r="49" spans="1:5" ht="15" customHeight="1" x14ac:dyDescent="0.25">
      <c r="A49" s="462" t="s">
        <v>161</v>
      </c>
      <c r="B49" s="403" t="str">
        <f>_xlfn.XLOOKUP(tbl_cleaning[[#This Row],[Scheme/Estate]],[1]!tbl_survey[Scheme Name],[1]!tbl_survey[Internal],"Not rated")</f>
        <v>Not rated</v>
      </c>
      <c r="C49" s="403" t="e">
        <f t="array" ref="C49">IF(DATEVALUE([1]!tbl_survey[Date of inspection])&gt;DATEVALUE(B45),_xlfn.XLOOKUP(tbl_cleaning[[#This Row],[Scheme/Estate]],[1]!tbl_survey[Scheme Name],[1]!tbl_survey[Internal],"Not rated"),"Not rated")</f>
        <v>#VALUE!</v>
      </c>
      <c r="D49" s="432" t="s">
        <v>1365</v>
      </c>
      <c r="E49" s="452" t="s">
        <v>87</v>
      </c>
    </row>
    <row r="50" spans="1:5" ht="15" customHeight="1" x14ac:dyDescent="0.25">
      <c r="A50" s="463" t="s">
        <v>169</v>
      </c>
      <c r="B50" s="403" t="str">
        <f>_xlfn.XLOOKUP(tbl_cleaning[[#This Row],[Scheme/Estate]],[1]!tbl_survey[Scheme Name],[1]!tbl_survey[Internal],"Not rated")</f>
        <v>Not rated</v>
      </c>
      <c r="C50" s="403" t="e">
        <f t="array" ref="C50">IF(DATEVALUE([1]!tbl_survey[Date of inspection])&gt;DATEVALUE(B46),_xlfn.XLOOKUP(tbl_cleaning[[#This Row],[Scheme/Estate]],[1]!tbl_survey[Scheme Name],[1]!tbl_survey[Internal],"Not rated"),"Not rated")</f>
        <v>#VALUE!</v>
      </c>
      <c r="D50" s="432" t="s">
        <v>1385</v>
      </c>
      <c r="E50" s="154" t="s">
        <v>93</v>
      </c>
    </row>
    <row r="51" spans="1:5" ht="15" customHeight="1" x14ac:dyDescent="0.25">
      <c r="A51" s="462" t="s">
        <v>1320</v>
      </c>
      <c r="B51" s="403">
        <f>_xlfn.XLOOKUP(tbl_cleaning[[#This Row],[Scheme/Estate]],[1]!tbl_survey[Scheme Name],[1]!tbl_survey[Internal],"Not rated")</f>
        <v>1</v>
      </c>
      <c r="C51" s="403" t="e">
        <f t="array" ref="C51">IF(DATEVALUE([1]!tbl_survey[Date of inspection])&gt;DATEVALUE(B47),_xlfn.XLOOKUP(tbl_cleaning[[#This Row],[Scheme/Estate]],[1]!tbl_survey[Scheme Name],[1]!tbl_survey[Internal],"Not rated"),"Not rated")</f>
        <v>#VALUE!</v>
      </c>
      <c r="D51" s="432" t="s">
        <v>1383</v>
      </c>
      <c r="E51" s="443" t="s">
        <v>87</v>
      </c>
    </row>
    <row r="52" spans="1:5" ht="15" customHeight="1" x14ac:dyDescent="0.25">
      <c r="A52" s="468" t="s">
        <v>1359</v>
      </c>
      <c r="B52" s="403" t="str">
        <f>_xlfn.XLOOKUP(tbl_cleaning[[#This Row],[Scheme/Estate]],[1]!tbl_survey[Scheme Name],[1]!tbl_survey[Internal],"Not rated")</f>
        <v>Not rated</v>
      </c>
      <c r="C52" s="403" t="e">
        <f t="array" ref="C52">IF(DATEVALUE([1]!tbl_survey[Date of inspection])&gt;DATEVALUE(B48),_xlfn.XLOOKUP(tbl_cleaning[[#This Row],[Scheme/Estate]],[1]!tbl_survey[Scheme Name],[1]!tbl_survey[Internal],"Not rated"),"Not rated")</f>
        <v>#VALUE!</v>
      </c>
      <c r="D52" s="432" t="s">
        <v>1377</v>
      </c>
      <c r="E52" s="154" t="s">
        <v>93</v>
      </c>
    </row>
    <row r="53" spans="1:5" ht="15" customHeight="1" x14ac:dyDescent="0.25">
      <c r="A53" s="463" t="s">
        <v>175</v>
      </c>
      <c r="B53" s="403" t="str">
        <f>_xlfn.XLOOKUP(tbl_cleaning[[#This Row],[Scheme/Estate]],[1]!tbl_survey[Scheme Name],[1]!tbl_survey[Internal],"Not rated")</f>
        <v>Not rated</v>
      </c>
      <c r="C53" s="403" t="e">
        <f t="array" ref="C53">IF(DATEVALUE([1]!tbl_survey[Date of inspection])&gt;DATEVALUE(B49),_xlfn.XLOOKUP(tbl_cleaning[[#This Row],[Scheme/Estate]],[1]!tbl_survey[Scheme Name],[1]!tbl_survey[Internal],"Not rated"),"Not rated")</f>
        <v>#VALUE!</v>
      </c>
      <c r="D53" s="432" t="s">
        <v>1363</v>
      </c>
      <c r="E53" s="154" t="s">
        <v>58</v>
      </c>
    </row>
    <row r="54" spans="1:5" ht="15" customHeight="1" x14ac:dyDescent="0.25">
      <c r="A54" s="462" t="s">
        <v>176</v>
      </c>
      <c r="B54" s="403" t="str">
        <f>_xlfn.XLOOKUP(tbl_cleaning[[#This Row],[Scheme/Estate]],[1]!tbl_survey[Scheme Name],[1]!tbl_survey[Internal],"Not rated")</f>
        <v>Not rated</v>
      </c>
      <c r="C54" s="403" t="e">
        <f t="array" ref="C54">IF(DATEVALUE([1]!tbl_survey[Date of inspection])&gt;DATEVALUE(B50),_xlfn.XLOOKUP(tbl_cleaning[[#This Row],[Scheme/Estate]],[1]!tbl_survey[Scheme Name],[1]!tbl_survey[Internal],"Not rated"),"Not rated")</f>
        <v>#VALUE!</v>
      </c>
      <c r="D54" s="432" t="s">
        <v>1372</v>
      </c>
      <c r="E54" s="154" t="s">
        <v>60</v>
      </c>
    </row>
    <row r="55" spans="1:5" ht="15" customHeight="1" x14ac:dyDescent="0.25">
      <c r="A55" s="463" t="s">
        <v>177</v>
      </c>
      <c r="B55" s="403" t="str">
        <f>_xlfn.XLOOKUP(tbl_cleaning[[#This Row],[Scheme/Estate]],[1]!tbl_survey[Scheme Name],[1]!tbl_survey[Internal],"Not rated")</f>
        <v>Not rated</v>
      </c>
      <c r="C55" s="403" t="e">
        <f t="array" ref="C55">IF(DATEVALUE([1]!tbl_survey[Date of inspection])&gt;DATEVALUE(B51),_xlfn.XLOOKUP(tbl_cleaning[[#This Row],[Scheme/Estate]],[1]!tbl_survey[Scheme Name],[1]!tbl_survey[Internal],"Not rated"),"Not rated")</f>
        <v>#VALUE!</v>
      </c>
      <c r="D55" s="432" t="s">
        <v>1376</v>
      </c>
      <c r="E55" s="450" t="s">
        <v>60</v>
      </c>
    </row>
    <row r="56" spans="1:5" ht="15" customHeight="1" x14ac:dyDescent="0.25">
      <c r="A56" s="391" t="s">
        <v>1360</v>
      </c>
      <c r="B56" s="403" t="str">
        <f>_xlfn.XLOOKUP(tbl_cleaning[[#This Row],[Scheme/Estate]],[1]!tbl_survey[Scheme Name],[1]!tbl_survey[Internal],"Not rated")</f>
        <v>Not rated</v>
      </c>
      <c r="C56" s="403" t="e">
        <f t="array" ref="C56">IF(DATEVALUE([1]!tbl_survey[Date of inspection])&gt;DATEVALUE(B52),_xlfn.XLOOKUP(tbl_cleaning[[#This Row],[Scheme/Estate]],[1]!tbl_survey[Scheme Name],[1]!tbl_survey[Internal],"Not rated"),"Not rated")</f>
        <v>#VALUE!</v>
      </c>
      <c r="D56" s="432" t="s">
        <v>1373</v>
      </c>
      <c r="E56" s="446" t="s">
        <v>58</v>
      </c>
    </row>
    <row r="57" spans="1:5" ht="15" customHeight="1" x14ac:dyDescent="0.25">
      <c r="A57" s="391" t="s">
        <v>178</v>
      </c>
      <c r="B57" s="403">
        <f>_xlfn.XLOOKUP(tbl_cleaning[[#This Row],[Scheme/Estate]],[1]!tbl_survey[Scheme Name],[1]!tbl_survey[Internal],"Not rated")</f>
        <v>3</v>
      </c>
      <c r="C57" s="403" t="e">
        <f t="array" ref="C57">IF(DATEVALUE([1]!tbl_survey[Date of inspection])&gt;DATEVALUE(B53),_xlfn.XLOOKUP(tbl_cleaning[[#This Row],[Scheme/Estate]],[1]!tbl_survey[Scheme Name],[1]!tbl_survey[Internal],"Not rated"),"Not rated")</f>
        <v>#VALUE!</v>
      </c>
      <c r="D57" s="432" t="s">
        <v>1373</v>
      </c>
      <c r="E57" s="154" t="s">
        <v>58</v>
      </c>
    </row>
    <row r="58" spans="1:5" ht="15" customHeight="1" x14ac:dyDescent="0.25">
      <c r="A58" s="391" t="s">
        <v>180</v>
      </c>
      <c r="B58" s="403" t="str">
        <f>_xlfn.XLOOKUP(tbl_cleaning[[#This Row],[Scheme/Estate]],[1]!tbl_survey[Scheme Name],[1]!tbl_survey[Internal],"Not rated")</f>
        <v>Not rated</v>
      </c>
      <c r="C58" s="403" t="e">
        <f t="array" ref="C58">IF(DATEVALUE([1]!tbl_survey[Date of inspection])&gt;DATEVALUE(B54),_xlfn.XLOOKUP(tbl_cleaning[[#This Row],[Scheme/Estate]],[1]!tbl_survey[Scheme Name],[1]!tbl_survey[Internal],"Not rated"),"Not rated")</f>
        <v>#VALUE!</v>
      </c>
      <c r="D58" s="432" t="s">
        <v>1373</v>
      </c>
      <c r="E58" s="154" t="s">
        <v>58</v>
      </c>
    </row>
    <row r="59" spans="1:5" ht="15" customHeight="1" x14ac:dyDescent="0.25">
      <c r="A59" s="391" t="s">
        <v>181</v>
      </c>
      <c r="B59" s="403" t="str">
        <f>_xlfn.XLOOKUP(tbl_cleaning[[#This Row],[Scheme/Estate]],[1]!tbl_survey[Scheme Name],[1]!tbl_survey[Internal],"Not rated")</f>
        <v>Not rated</v>
      </c>
      <c r="C59" s="403" t="e">
        <f t="array" ref="C59">IF(DATEVALUE([1]!tbl_survey[Date of inspection])&gt;DATEVALUE(B55),_xlfn.XLOOKUP(tbl_cleaning[[#This Row],[Scheme/Estate]],[1]!tbl_survey[Scheme Name],[1]!tbl_survey[Internal],"Not rated"),"Not rated")</f>
        <v>#VALUE!</v>
      </c>
      <c r="D59" s="432" t="s">
        <v>1373</v>
      </c>
      <c r="E59" s="449" t="s">
        <v>58</v>
      </c>
    </row>
    <row r="60" spans="1:5" ht="15" customHeight="1" x14ac:dyDescent="0.25">
      <c r="A60" s="391" t="s">
        <v>182</v>
      </c>
      <c r="B60" s="403" t="str">
        <f>_xlfn.XLOOKUP(tbl_cleaning[[#This Row],[Scheme/Estate]],[1]!tbl_survey[Scheme Name],[1]!tbl_survey[Internal],"Not rated")</f>
        <v>Not rated</v>
      </c>
      <c r="C60" s="403" t="e">
        <f t="array" ref="C60">IF(DATEVALUE([1]!tbl_survey[Date of inspection])&gt;DATEVALUE(B56),_xlfn.XLOOKUP(tbl_cleaning[[#This Row],[Scheme/Estate]],[1]!tbl_survey[Scheme Name],[1]!tbl_survey[Internal],"Not rated"),"Not rated")</f>
        <v>#VALUE!</v>
      </c>
      <c r="D60" s="432" t="s">
        <v>1373</v>
      </c>
      <c r="E60" s="154" t="s">
        <v>58</v>
      </c>
    </row>
    <row r="61" spans="1:5" ht="15" customHeight="1" x14ac:dyDescent="0.25">
      <c r="A61" s="391" t="s">
        <v>183</v>
      </c>
      <c r="B61" s="403" t="str">
        <f>_xlfn.XLOOKUP(tbl_cleaning[[#This Row],[Scheme/Estate]],[1]!tbl_survey[Scheme Name],[1]!tbl_survey[Internal],"Not rated")</f>
        <v>Not rated</v>
      </c>
      <c r="C61" s="403" t="e">
        <f t="array" ref="C61">IF(DATEVALUE([1]!tbl_survey[Date of inspection])&gt;DATEVALUE(B57),_xlfn.XLOOKUP(tbl_cleaning[[#This Row],[Scheme/Estate]],[1]!tbl_survey[Scheme Name],[1]!tbl_survey[Internal],"Not rated"),"Not rated")</f>
        <v>#VALUE!</v>
      </c>
      <c r="D61" s="432" t="s">
        <v>1373</v>
      </c>
      <c r="E61" s="154" t="s">
        <v>58</v>
      </c>
    </row>
    <row r="62" spans="1:5" ht="15" customHeight="1" x14ac:dyDescent="0.25">
      <c r="A62" s="392" t="s">
        <v>184</v>
      </c>
      <c r="B62" s="403" t="str">
        <f>_xlfn.XLOOKUP(tbl_cleaning[[#This Row],[Scheme/Estate]],[1]!tbl_survey[Scheme Name],[1]!tbl_survey[Internal],"Not rated")</f>
        <v>Not rated</v>
      </c>
      <c r="C62" s="403" t="e">
        <f t="array" ref="C62">IF(DATEVALUE([1]!tbl_survey[Date of inspection])&gt;DATEVALUE(B58),_xlfn.XLOOKUP(tbl_cleaning[[#This Row],[Scheme/Estate]],[1]!tbl_survey[Scheme Name],[1]!tbl_survey[Internal],"Not rated"),"Not rated")</f>
        <v>#VALUE!</v>
      </c>
      <c r="D62" s="432" t="s">
        <v>1373</v>
      </c>
      <c r="E62" s="154" t="s">
        <v>58</v>
      </c>
    </row>
    <row r="63" spans="1:5" s="21" customFormat="1" ht="15.75" customHeight="1" x14ac:dyDescent="0.25">
      <c r="A63" s="391" t="s">
        <v>185</v>
      </c>
      <c r="B63" s="403" t="str">
        <f>_xlfn.XLOOKUP(tbl_cleaning[[#This Row],[Scheme/Estate]],[1]!tbl_survey[Scheme Name],[1]!tbl_survey[Internal],"Not rated")</f>
        <v>Not rated</v>
      </c>
      <c r="C63" s="403" t="e">
        <f t="array" ref="C63">IF(DATEVALUE([1]!tbl_survey[Date of inspection])&gt;DATEVALUE(B59),_xlfn.XLOOKUP(tbl_cleaning[[#This Row],[Scheme/Estate]],[1]!tbl_survey[Scheme Name],[1]!tbl_survey[Internal],"Not rated"),"Not rated")</f>
        <v>#VALUE!</v>
      </c>
      <c r="D63" s="432" t="s">
        <v>1373</v>
      </c>
      <c r="E63" s="449" t="s">
        <v>58</v>
      </c>
    </row>
    <row r="64" spans="1:5" ht="15" customHeight="1" x14ac:dyDescent="0.25">
      <c r="A64" s="391" t="s">
        <v>186</v>
      </c>
      <c r="B64" s="403" t="str">
        <f>_xlfn.XLOOKUP(tbl_cleaning[[#This Row],[Scheme/Estate]],[1]!tbl_survey[Scheme Name],[1]!tbl_survey[Internal],"Not rated")</f>
        <v>Not rated</v>
      </c>
      <c r="C64" s="403" t="e">
        <f t="array" ref="C64">IF(DATEVALUE([1]!tbl_survey[Date of inspection])&gt;DATEVALUE(B60),_xlfn.XLOOKUP(tbl_cleaning[[#This Row],[Scheme/Estate]],[1]!tbl_survey[Scheme Name],[1]!tbl_survey[Internal],"Not rated"),"Not rated")</f>
        <v>#VALUE!</v>
      </c>
      <c r="D64" s="432" t="s">
        <v>1373</v>
      </c>
      <c r="E64" s="154" t="s">
        <v>58</v>
      </c>
    </row>
    <row r="65" spans="1:5" ht="15" customHeight="1" x14ac:dyDescent="0.25">
      <c r="A65" s="391" t="s">
        <v>187</v>
      </c>
      <c r="B65" s="403">
        <f>_xlfn.XLOOKUP(tbl_cleaning[[#This Row],[Scheme/Estate]],[1]!tbl_survey[Scheme Name],[1]!tbl_survey[Internal],"Not rated")</f>
        <v>3</v>
      </c>
      <c r="C65" s="403" t="e">
        <f t="array" ref="C65">IF(DATEVALUE([1]!tbl_survey[Date of inspection])&gt;DATEVALUE(B61),_xlfn.XLOOKUP(tbl_cleaning[[#This Row],[Scheme/Estate]],[1]!tbl_survey[Scheme Name],[1]!tbl_survey[Internal],"Not rated"),"Not rated")</f>
        <v>#VALUE!</v>
      </c>
      <c r="D65" s="432" t="s">
        <v>1373</v>
      </c>
      <c r="E65" s="449" t="s">
        <v>58</v>
      </c>
    </row>
    <row r="66" spans="1:5" ht="15" customHeight="1" x14ac:dyDescent="0.25">
      <c r="A66" s="391" t="s">
        <v>188</v>
      </c>
      <c r="B66" s="403" t="str">
        <f>_xlfn.XLOOKUP(tbl_cleaning[[#This Row],[Scheme/Estate]],[1]!tbl_survey[Scheme Name],[1]!tbl_survey[Internal],"Not rated")</f>
        <v>Not rated</v>
      </c>
      <c r="C66" s="403" t="e">
        <f t="array" ref="C66">IF(DATEVALUE([1]!tbl_survey[Date of inspection])&gt;DATEVALUE(B62),_xlfn.XLOOKUP(tbl_cleaning[[#This Row],[Scheme/Estate]],[1]!tbl_survey[Scheme Name],[1]!tbl_survey[Internal],"Not rated"),"Not rated")</f>
        <v>#VALUE!</v>
      </c>
      <c r="D66" s="432" t="s">
        <v>1373</v>
      </c>
      <c r="E66" s="154" t="s">
        <v>58</v>
      </c>
    </row>
    <row r="67" spans="1:5" ht="15" customHeight="1" x14ac:dyDescent="0.25">
      <c r="A67" s="391" t="s">
        <v>189</v>
      </c>
      <c r="B67" s="403" t="str">
        <f>_xlfn.XLOOKUP(tbl_cleaning[[#This Row],[Scheme/Estate]],[1]!tbl_survey[Scheme Name],[1]!tbl_survey[Internal],"Not rated")</f>
        <v>Not rated</v>
      </c>
      <c r="C67" s="403" t="e">
        <f t="array" ref="C67">IF(DATEVALUE([1]!tbl_survey[Date of inspection])&gt;DATEVALUE(B63),_xlfn.XLOOKUP(tbl_cleaning[[#This Row],[Scheme/Estate]],[1]!tbl_survey[Scheme Name],[1]!tbl_survey[Internal],"Not rated"),"Not rated")</f>
        <v>#VALUE!</v>
      </c>
      <c r="D67" s="432" t="s">
        <v>1373</v>
      </c>
      <c r="E67" s="449" t="s">
        <v>58</v>
      </c>
    </row>
    <row r="68" spans="1:5" ht="15" customHeight="1" x14ac:dyDescent="0.25">
      <c r="A68" s="391" t="s">
        <v>190</v>
      </c>
      <c r="B68" s="403" t="str">
        <f>_xlfn.XLOOKUP(tbl_cleaning[[#This Row],[Scheme/Estate]],[1]!tbl_survey[Scheme Name],[1]!tbl_survey[Internal],"Not rated")</f>
        <v>Not rated</v>
      </c>
      <c r="C68" s="403" t="e">
        <f t="array" ref="C68">IF(DATEVALUE([1]!tbl_survey[Date of inspection])&gt;DATEVALUE(B64),_xlfn.XLOOKUP(tbl_cleaning[[#This Row],[Scheme/Estate]],[1]!tbl_survey[Scheme Name],[1]!tbl_survey[Internal],"Not rated"),"Not rated")</f>
        <v>#VALUE!</v>
      </c>
      <c r="D68" s="432" t="s">
        <v>1373</v>
      </c>
      <c r="E68" s="154" t="s">
        <v>58</v>
      </c>
    </row>
    <row r="69" spans="1:5" ht="15" customHeight="1" x14ac:dyDescent="0.25">
      <c r="A69" s="391" t="s">
        <v>191</v>
      </c>
      <c r="B69" s="403" t="str">
        <f>_xlfn.XLOOKUP(tbl_cleaning[[#This Row],[Scheme/Estate]],[1]!tbl_survey[Scheme Name],[1]!tbl_survey[Internal],"Not rated")</f>
        <v>Not rated</v>
      </c>
      <c r="C69" s="403" t="e">
        <f t="array" ref="C69">IF(DATEVALUE([1]!tbl_survey[Date of inspection])&gt;DATEVALUE(B65),_xlfn.XLOOKUP(tbl_cleaning[[#This Row],[Scheme/Estate]],[1]!tbl_survey[Scheme Name],[1]!tbl_survey[Internal],"Not rated"),"Not rated")</f>
        <v>#VALUE!</v>
      </c>
      <c r="D69" s="432" t="s">
        <v>1373</v>
      </c>
      <c r="E69" s="154" t="s">
        <v>58</v>
      </c>
    </row>
    <row r="70" spans="1:5" ht="15" customHeight="1" x14ac:dyDescent="0.25">
      <c r="A70" s="391" t="s">
        <v>192</v>
      </c>
      <c r="B70" s="403" t="str">
        <f>_xlfn.XLOOKUP(tbl_cleaning[[#This Row],[Scheme/Estate]],[1]!tbl_survey[Scheme Name],[1]!tbl_survey[Internal],"Not rated")</f>
        <v>Not rated</v>
      </c>
      <c r="C70" s="403" t="e">
        <f t="array" ref="C70">IF(DATEVALUE([1]!tbl_survey[Date of inspection])&gt;DATEVALUE(B66),_xlfn.XLOOKUP(tbl_cleaning[[#This Row],[Scheme/Estate]],[1]!tbl_survey[Scheme Name],[1]!tbl_survey[Internal],"Not rated"),"Not rated")</f>
        <v>#VALUE!</v>
      </c>
      <c r="D70" s="432" t="s">
        <v>1373</v>
      </c>
      <c r="E70" s="450" t="s">
        <v>58</v>
      </c>
    </row>
    <row r="71" spans="1:5" ht="15" customHeight="1" x14ac:dyDescent="0.25">
      <c r="A71" s="391" t="s">
        <v>193</v>
      </c>
      <c r="B71" s="403" t="str">
        <f>_xlfn.XLOOKUP(tbl_cleaning[[#This Row],[Scheme/Estate]],[1]!tbl_survey[Scheme Name],[1]!tbl_survey[Internal],"Not rated")</f>
        <v>Not rated</v>
      </c>
      <c r="C71" s="403" t="e">
        <f t="array" ref="C71">IF(DATEVALUE([1]!tbl_survey[Date of inspection])&gt;DATEVALUE(B67),_xlfn.XLOOKUP(tbl_cleaning[[#This Row],[Scheme/Estate]],[1]!tbl_survey[Scheme Name],[1]!tbl_survey[Internal],"Not rated"),"Not rated")</f>
        <v>#VALUE!</v>
      </c>
      <c r="D71" s="432" t="s">
        <v>1373</v>
      </c>
      <c r="E71" s="446" t="s">
        <v>58</v>
      </c>
    </row>
    <row r="72" spans="1:5" ht="15" customHeight="1" x14ac:dyDescent="0.25">
      <c r="A72" s="391" t="s">
        <v>195</v>
      </c>
      <c r="B72" s="403" t="str">
        <f>_xlfn.XLOOKUP(tbl_cleaning[[#This Row],[Scheme/Estate]],[1]!tbl_survey[Scheme Name],[1]!tbl_survey[Internal],"Not rated")</f>
        <v>Not rated</v>
      </c>
      <c r="C72" s="403" t="e">
        <f t="array" ref="C72">IF(DATEVALUE([1]!tbl_survey[Date of inspection])&gt;DATEVALUE(B68),_xlfn.XLOOKUP(tbl_cleaning[[#This Row],[Scheme/Estate]],[1]!tbl_survey[Scheme Name],[1]!tbl_survey[Internal],"Not rated"),"Not rated")</f>
        <v>#VALUE!</v>
      </c>
      <c r="D72" s="432" t="s">
        <v>1373</v>
      </c>
      <c r="E72" s="154" t="s">
        <v>58</v>
      </c>
    </row>
    <row r="73" spans="1:5" ht="15" customHeight="1" x14ac:dyDescent="0.25">
      <c r="A73" s="462" t="s">
        <v>1322</v>
      </c>
      <c r="B73" s="403" t="str">
        <f>_xlfn.XLOOKUP(tbl_cleaning[[#This Row],[Scheme/Estate]],[1]!tbl_survey[Scheme Name],[1]!tbl_survey[Internal],"Not rated")</f>
        <v>Not rated</v>
      </c>
      <c r="C73" s="403" t="e">
        <f t="array" ref="C73">IF(DATEVALUE([1]!tbl_survey[Date of inspection])&gt;DATEVALUE(B69),_xlfn.XLOOKUP(tbl_cleaning[[#This Row],[Scheme/Estate]],[1]!tbl_survey[Scheme Name],[1]!tbl_survey[Internal],"Not rated"),"Not rated")</f>
        <v>#VALUE!</v>
      </c>
      <c r="D73" s="432" t="s">
        <v>1381</v>
      </c>
      <c r="E73" s="154" t="s">
        <v>60</v>
      </c>
    </row>
    <row r="74" spans="1:5" ht="15" customHeight="1" x14ac:dyDescent="0.25">
      <c r="A74" s="467" t="s">
        <v>1323</v>
      </c>
      <c r="B74" s="403" t="str">
        <f>_xlfn.XLOOKUP(tbl_cleaning[[#This Row],[Scheme/Estate]],[1]!tbl_survey[Scheme Name],[1]!tbl_survey[Internal],"Not rated")</f>
        <v>Not rated</v>
      </c>
      <c r="C74" s="403" t="e">
        <f t="array" ref="C74">IF(DATEVALUE([1]!tbl_survey[Date of inspection])&gt;DATEVALUE(B70),_xlfn.XLOOKUP(tbl_cleaning[[#This Row],[Scheme/Estate]],[1]!tbl_survey[Scheme Name],[1]!tbl_survey[Internal],"Not rated"),"Not rated")</f>
        <v>#VALUE!</v>
      </c>
      <c r="D74" s="432" t="s">
        <v>1381</v>
      </c>
      <c r="E74" s="154" t="s">
        <v>60</v>
      </c>
    </row>
    <row r="75" spans="1:5" ht="15" customHeight="1" x14ac:dyDescent="0.25">
      <c r="A75" s="462" t="s">
        <v>198</v>
      </c>
      <c r="B75" s="403" t="str">
        <f>_xlfn.XLOOKUP(tbl_cleaning[[#This Row],[Scheme/Estate]],[1]!tbl_survey[Scheme Name],[1]!tbl_survey[Internal],"Not rated")</f>
        <v>Not rated</v>
      </c>
      <c r="C75" s="403" t="e">
        <f t="array" ref="C75">IF(DATEVALUE([1]!tbl_survey[Date of inspection])&gt;DATEVALUE(B71),_xlfn.XLOOKUP(tbl_cleaning[[#This Row],[Scheme/Estate]],[1]!tbl_survey[Scheme Name],[1]!tbl_survey[Internal],"Not rated"),"Not rated")</f>
        <v>#VALUE!</v>
      </c>
      <c r="D75" s="432" t="s">
        <v>1365</v>
      </c>
      <c r="E75" s="449" t="s">
        <v>87</v>
      </c>
    </row>
    <row r="76" spans="1:5" ht="15" customHeight="1" x14ac:dyDescent="0.25">
      <c r="A76" s="471" t="s">
        <v>200</v>
      </c>
      <c r="B76" s="403" t="str">
        <f>_xlfn.XLOOKUP(tbl_cleaning[[#This Row],[Scheme/Estate]],[1]!tbl_survey[Scheme Name],[1]!tbl_survey[Internal],"Not rated")</f>
        <v>Not rated</v>
      </c>
      <c r="C76" s="403" t="e">
        <f t="array" ref="C76">IF(DATEVALUE([1]!tbl_survey[Date of inspection])&gt;DATEVALUE(B72),_xlfn.XLOOKUP(tbl_cleaning[[#This Row],[Scheme/Estate]],[1]!tbl_survey[Scheme Name],[1]!tbl_survey[Internal],"Not rated"),"Not rated")</f>
        <v>#VALUE!</v>
      </c>
      <c r="D76" s="432" t="s">
        <v>1365</v>
      </c>
      <c r="E76" s="443" t="s">
        <v>87</v>
      </c>
    </row>
    <row r="77" spans="1:5" ht="15" customHeight="1" x14ac:dyDescent="0.25">
      <c r="A77" s="465" t="s">
        <v>201</v>
      </c>
      <c r="B77" s="403">
        <f>_xlfn.XLOOKUP(tbl_cleaning[[#This Row],[Scheme/Estate]],[1]!tbl_survey[Scheme Name],[1]!tbl_survey[Internal],"Not rated")</f>
        <v>3</v>
      </c>
      <c r="C77" s="403" t="e">
        <f t="array" ref="C77">IF(DATEVALUE([1]!tbl_survey[Date of inspection])&gt;DATEVALUE(B73),_xlfn.XLOOKUP(tbl_cleaning[[#This Row],[Scheme/Estate]],[1]!tbl_survey[Scheme Name],[1]!tbl_survey[Internal],"Not rated"),"Not rated")</f>
        <v>#VALUE!</v>
      </c>
      <c r="D77" s="432" t="s">
        <v>1373</v>
      </c>
      <c r="E77" s="154" t="s">
        <v>58</v>
      </c>
    </row>
    <row r="78" spans="1:5" ht="15" customHeight="1" x14ac:dyDescent="0.25">
      <c r="A78" s="462" t="s">
        <v>202</v>
      </c>
      <c r="B78" s="403" t="str">
        <f>_xlfn.XLOOKUP(tbl_cleaning[[#This Row],[Scheme/Estate]],[1]!tbl_survey[Scheme Name],[1]!tbl_survey[Internal],"Not rated")</f>
        <v>Not rated</v>
      </c>
      <c r="C78" s="403" t="e">
        <f t="array" ref="C78">IF(DATEVALUE([1]!tbl_survey[Date of inspection])&gt;DATEVALUE(B74),_xlfn.XLOOKUP(tbl_cleaning[[#This Row],[Scheme/Estate]],[1]!tbl_survey[Scheme Name],[1]!tbl_survey[Internal],"Not rated"),"Not rated")</f>
        <v>#VALUE!</v>
      </c>
      <c r="D78" s="432" t="s">
        <v>1368</v>
      </c>
      <c r="E78" s="154" t="s">
        <v>60</v>
      </c>
    </row>
    <row r="79" spans="1:5" ht="15" customHeight="1" x14ac:dyDescent="0.25">
      <c r="A79" s="463" t="s">
        <v>206</v>
      </c>
      <c r="B79" s="403" t="str">
        <f>_xlfn.XLOOKUP(tbl_cleaning[[#This Row],[Scheme/Estate]],[1]!tbl_survey[Scheme Name],[1]!tbl_survey[Internal],"Not rated")</f>
        <v>Not rated</v>
      </c>
      <c r="C79" s="403" t="e">
        <f t="array" ref="C79">IF(DATEVALUE([1]!tbl_survey[Date of inspection])&gt;DATEVALUE(B75),_xlfn.XLOOKUP(tbl_cleaning[[#This Row],[Scheme/Estate]],[1]!tbl_survey[Scheme Name],[1]!tbl_survey[Internal],"Not rated"),"Not rated")</f>
        <v>#VALUE!</v>
      </c>
      <c r="D79" s="432" t="s">
        <v>1379</v>
      </c>
      <c r="E79" s="450" t="s">
        <v>58</v>
      </c>
    </row>
    <row r="80" spans="1:5" ht="15" customHeight="1" x14ac:dyDescent="0.25">
      <c r="A80" s="472" t="s">
        <v>211</v>
      </c>
      <c r="B80" s="403">
        <f>_xlfn.XLOOKUP(tbl_cleaning[[#This Row],[Scheme/Estate]],[1]!tbl_survey[Scheme Name],[1]!tbl_survey[Internal],"Not rated")</f>
        <v>4</v>
      </c>
      <c r="C80" s="403" t="e">
        <f t="array" ref="C80">IF(DATEVALUE([1]!tbl_survey[Date of inspection])&gt;DATEVALUE(B76),_xlfn.XLOOKUP(tbl_cleaning[[#This Row],[Scheme/Estate]],[1]!tbl_survey[Scheme Name],[1]!tbl_survey[Internal],"Not rated"),"Not rated")</f>
        <v>#VALUE!</v>
      </c>
      <c r="D80" s="432" t="s">
        <v>1368</v>
      </c>
      <c r="E80" s="446" t="s">
        <v>60</v>
      </c>
    </row>
    <row r="81" spans="1:5" ht="15" customHeight="1" x14ac:dyDescent="0.25">
      <c r="A81" s="467" t="s">
        <v>212</v>
      </c>
      <c r="B81" s="403" t="str">
        <f>_xlfn.XLOOKUP(tbl_cleaning[[#This Row],[Scheme/Estate]],[1]!tbl_survey[Scheme Name],[1]!tbl_survey[Internal],"Not rated")</f>
        <v>Not rated</v>
      </c>
      <c r="C81" s="403" t="e">
        <f t="array" ref="C81">IF(DATEVALUE([1]!tbl_survey[Date of inspection])&gt;DATEVALUE(B77),_xlfn.XLOOKUP(tbl_cleaning[[#This Row],[Scheme/Estate]],[1]!tbl_survey[Scheme Name],[1]!tbl_survey[Internal],"Not rated"),"Not rated")</f>
        <v>#VALUE!</v>
      </c>
      <c r="D81" s="432" t="s">
        <v>1368</v>
      </c>
      <c r="E81" s="154" t="s">
        <v>60</v>
      </c>
    </row>
    <row r="82" spans="1:5" ht="15" customHeight="1" x14ac:dyDescent="0.25">
      <c r="A82" s="462" t="s">
        <v>1441</v>
      </c>
      <c r="B82" s="403" t="str">
        <f>_xlfn.XLOOKUP(tbl_cleaning[[#This Row],[Scheme/Estate]],[1]!tbl_survey[Scheme Name],[1]!tbl_survey[Internal],"Not rated")</f>
        <v>Not rated</v>
      </c>
      <c r="C82" s="403" t="e">
        <f t="array" ref="C82">IF(DATEVALUE([1]!tbl_survey[Date of inspection])&gt;DATEVALUE(B78),_xlfn.XLOOKUP(tbl_cleaning[[#This Row],[Scheme/Estate]],[1]!tbl_survey[Scheme Name],[1]!tbl_survey[Internal],"Not rated"),"Not rated")</f>
        <v>#VALUE!</v>
      </c>
      <c r="D82" s="432" t="s">
        <v>1381</v>
      </c>
      <c r="E82" s="154" t="s">
        <v>60</v>
      </c>
    </row>
    <row r="83" spans="1:5" ht="15" customHeight="1" x14ac:dyDescent="0.25">
      <c r="A83" s="462" t="s">
        <v>1440</v>
      </c>
      <c r="B83" s="403" t="str">
        <f>_xlfn.XLOOKUP(tbl_cleaning[[#This Row],[Scheme/Estate]],[1]!tbl_survey[Scheme Name],[1]!tbl_survey[Internal],"Not rated")</f>
        <v>Not rated</v>
      </c>
      <c r="C83" s="403" t="e">
        <f t="array" ref="C83">IF(DATEVALUE([1]!tbl_survey[Date of inspection])&gt;DATEVALUE(B79),_xlfn.XLOOKUP(tbl_cleaning[[#This Row],[Scheme/Estate]],[1]!tbl_survey[Scheme Name],[1]!tbl_survey[Internal],"Not rated"),"Not rated")</f>
        <v>#VALUE!</v>
      </c>
      <c r="D83" s="432" t="s">
        <v>1381</v>
      </c>
      <c r="E83" s="450" t="s">
        <v>60</v>
      </c>
    </row>
    <row r="84" spans="1:5" ht="15" customHeight="1" x14ac:dyDescent="0.25">
      <c r="A84" s="463" t="s">
        <v>215</v>
      </c>
      <c r="B84" s="403">
        <f>_xlfn.XLOOKUP(tbl_cleaning[[#This Row],[Scheme/Estate]],[1]!tbl_survey[Scheme Name],[1]!tbl_survey[Internal],"Not rated")</f>
        <v>4</v>
      </c>
      <c r="C84" s="403" t="e">
        <f t="array" ref="C84">IF(DATEVALUE([1]!tbl_survey[Date of inspection])&gt;DATEVALUE(B80),_xlfn.XLOOKUP(tbl_cleaning[[#This Row],[Scheme/Estate]],[1]!tbl_survey[Scheme Name],[1]!tbl_survey[Internal],"Not rated"),"Not rated")</f>
        <v>#VALUE!</v>
      </c>
      <c r="D84" s="435" t="s">
        <v>1432</v>
      </c>
      <c r="E84" s="447" t="s">
        <v>87</v>
      </c>
    </row>
    <row r="85" spans="1:5" ht="15" customHeight="1" x14ac:dyDescent="0.25">
      <c r="A85" s="462" t="s">
        <v>1324</v>
      </c>
      <c r="B85" s="403" t="str">
        <f>_xlfn.XLOOKUP(tbl_cleaning[[#This Row],[Scheme/Estate]],[1]!tbl_survey[Scheme Name],[1]!tbl_survey[Internal],"Not rated")</f>
        <v>Not rated</v>
      </c>
      <c r="C85" s="403" t="e">
        <f t="array" ref="C85">IF(DATEVALUE([1]!tbl_survey[Date of inspection])&gt;DATEVALUE(B81),_xlfn.XLOOKUP(tbl_cleaning[[#This Row],[Scheme/Estate]],[1]!tbl_survey[Scheme Name],[1]!tbl_survey[Internal],"Not rated"),"Not rated")</f>
        <v>#VALUE!</v>
      </c>
      <c r="D85" s="432" t="s">
        <v>1375</v>
      </c>
      <c r="E85" s="446" t="s">
        <v>60</v>
      </c>
    </row>
    <row r="86" spans="1:5" ht="15" customHeight="1" x14ac:dyDescent="0.25">
      <c r="A86" s="462" t="s">
        <v>217</v>
      </c>
      <c r="B86" s="403" t="str">
        <f>_xlfn.XLOOKUP(tbl_cleaning[[#This Row],[Scheme/Estate]],[1]!tbl_survey[Scheme Name],[1]!tbl_survey[Internal],"Not rated")</f>
        <v>Not rated</v>
      </c>
      <c r="C86" s="403" t="e">
        <f t="array" ref="C86">IF(DATEVALUE([1]!tbl_survey[Date of inspection])&gt;DATEVALUE(B82),_xlfn.XLOOKUP(tbl_cleaning[[#This Row],[Scheme/Estate]],[1]!tbl_survey[Scheme Name],[1]!tbl_survey[Internal],"Not rated"),"Not rated")</f>
        <v>#VALUE!</v>
      </c>
      <c r="D86" s="432" t="s">
        <v>1365</v>
      </c>
      <c r="E86" s="443" t="s">
        <v>87</v>
      </c>
    </row>
    <row r="87" spans="1:5" ht="15" customHeight="1" x14ac:dyDescent="0.25">
      <c r="A87" s="473" t="s">
        <v>1439</v>
      </c>
      <c r="B87" s="403" t="str">
        <f>_xlfn.XLOOKUP(tbl_cleaning[[#This Row],[Scheme/Estate]],[1]!tbl_survey[Scheme Name],[1]!tbl_survey[Internal],"Not rated")</f>
        <v>Not rated</v>
      </c>
      <c r="C87" s="403" t="e">
        <f t="array" ref="C87">IF(DATEVALUE([1]!tbl_survey[Date of inspection])&gt;DATEVALUE(B83),_xlfn.XLOOKUP(tbl_cleaning[[#This Row],[Scheme/Estate]],[1]!tbl_survey[Scheme Name],[1]!tbl_survey[Internal],"Not rated"),"Not rated")</f>
        <v>#VALUE!</v>
      </c>
      <c r="D87" s="434" t="s">
        <v>1379</v>
      </c>
      <c r="E87" s="443" t="s">
        <v>58</v>
      </c>
    </row>
    <row r="88" spans="1:5" ht="15" customHeight="1" x14ac:dyDescent="0.25">
      <c r="A88" s="462" t="s">
        <v>218</v>
      </c>
      <c r="B88" s="403" t="str">
        <f>_xlfn.XLOOKUP(tbl_cleaning[[#This Row],[Scheme/Estate]],[1]!tbl_survey[Scheme Name],[1]!tbl_survey[Internal],"Not rated")</f>
        <v>Not rated</v>
      </c>
      <c r="C88" s="403" t="e">
        <f t="array" ref="C88">IF(DATEVALUE([1]!tbl_survey[Date of inspection])&gt;DATEVALUE(B84),_xlfn.XLOOKUP(tbl_cleaning[[#This Row],[Scheme/Estate]],[1]!tbl_survey[Scheme Name],[1]!tbl_survey[Internal],"Not rated"),"Not rated")</f>
        <v>#VALUE!</v>
      </c>
      <c r="D88" s="432" t="s">
        <v>1378</v>
      </c>
      <c r="E88" s="443" t="s">
        <v>87</v>
      </c>
    </row>
    <row r="89" spans="1:5" ht="15" customHeight="1" x14ac:dyDescent="0.25">
      <c r="A89" s="463" t="s">
        <v>219</v>
      </c>
      <c r="B89" s="403" t="str">
        <f>_xlfn.XLOOKUP(tbl_cleaning[[#This Row],[Scheme/Estate]],[1]!tbl_survey[Scheme Name],[1]!tbl_survey[Internal],"Not rated")</f>
        <v>Not rated</v>
      </c>
      <c r="C89" s="403" t="e">
        <f t="array" ref="C89">IF(DATEVALUE([1]!tbl_survey[Date of inspection])&gt;DATEVALUE(B85),_xlfn.XLOOKUP(tbl_cleaning[[#This Row],[Scheme/Estate]],[1]!tbl_survey[Scheme Name],[1]!tbl_survey[Internal],"Not rated"),"Not rated")</f>
        <v>#VALUE!</v>
      </c>
      <c r="D89" s="432" t="s">
        <v>1383</v>
      </c>
      <c r="E89" s="154" t="s">
        <v>87</v>
      </c>
    </row>
    <row r="90" spans="1:5" ht="15" customHeight="1" x14ac:dyDescent="0.25">
      <c r="A90" s="463" t="s">
        <v>220</v>
      </c>
      <c r="B90" s="403">
        <f>_xlfn.XLOOKUP(tbl_cleaning[[#This Row],[Scheme/Estate]],[1]!tbl_survey[Scheme Name],[1]!tbl_survey[Internal],"Not rated")</f>
        <v>3</v>
      </c>
      <c r="C90" s="403" t="e">
        <f t="array" ref="C90">IF(DATEVALUE([1]!tbl_survey[Date of inspection])&gt;DATEVALUE(B86),_xlfn.XLOOKUP(tbl_cleaning[[#This Row],[Scheme/Estate]],[1]!tbl_survey[Scheme Name],[1]!tbl_survey[Internal],"Not rated"),"Not rated")</f>
        <v>#VALUE!</v>
      </c>
      <c r="D90" s="432" t="s">
        <v>1376</v>
      </c>
      <c r="E90" s="154" t="s">
        <v>60</v>
      </c>
    </row>
    <row r="91" spans="1:5" ht="15" customHeight="1" x14ac:dyDescent="0.25">
      <c r="A91" s="462" t="s">
        <v>221</v>
      </c>
      <c r="B91" s="403" t="str">
        <f>_xlfn.XLOOKUP(tbl_cleaning[[#This Row],[Scheme/Estate]],[1]!tbl_survey[Scheme Name],[1]!tbl_survey[Internal],"Not rated")</f>
        <v>Not rated</v>
      </c>
      <c r="C91" s="403" t="e">
        <f t="array" ref="C91">IF(DATEVALUE([1]!tbl_survey[Date of inspection])&gt;DATEVALUE(B87),_xlfn.XLOOKUP(tbl_cleaning[[#This Row],[Scheme/Estate]],[1]!tbl_survey[Scheme Name],[1]!tbl_survey[Internal],"Not rated"),"Not rated")</f>
        <v>#VALUE!</v>
      </c>
      <c r="D91" s="432" t="s">
        <v>1378</v>
      </c>
      <c r="E91" s="443" t="s">
        <v>87</v>
      </c>
    </row>
    <row r="92" spans="1:5" ht="15" customHeight="1" x14ac:dyDescent="0.25">
      <c r="A92" s="462" t="s">
        <v>222</v>
      </c>
      <c r="B92" s="403" t="str">
        <f>_xlfn.XLOOKUP(tbl_cleaning[[#This Row],[Scheme/Estate]],[1]!tbl_survey[Scheme Name],[1]!tbl_survey[Internal],"Not rated")</f>
        <v>Not rated</v>
      </c>
      <c r="C92" s="403" t="e">
        <f t="array" ref="C92">IF(DATEVALUE([1]!tbl_survey[Date of inspection])&gt;DATEVALUE(B88),_xlfn.XLOOKUP(tbl_cleaning[[#This Row],[Scheme/Estate]],[1]!tbl_survey[Scheme Name],[1]!tbl_survey[Internal],"Not rated"),"Not rated")</f>
        <v>#VALUE!</v>
      </c>
      <c r="D92" s="432" t="s">
        <v>1378</v>
      </c>
      <c r="E92" s="443" t="s">
        <v>87</v>
      </c>
    </row>
    <row r="93" spans="1:5" ht="15" customHeight="1" x14ac:dyDescent="0.25">
      <c r="A93" s="462" t="s">
        <v>223</v>
      </c>
      <c r="B93" s="403" t="str">
        <f>_xlfn.XLOOKUP(tbl_cleaning[[#This Row],[Scheme/Estate]],[1]!tbl_survey[Scheme Name],[1]!tbl_survey[Internal],"Not rated")</f>
        <v>Not rated</v>
      </c>
      <c r="C93" s="403" t="e">
        <f t="array" ref="C93">IF(DATEVALUE([1]!tbl_survey[Date of inspection])&gt;DATEVALUE(B89),_xlfn.XLOOKUP(tbl_cleaning[[#This Row],[Scheme/Estate]],[1]!tbl_survey[Scheme Name],[1]!tbl_survey[Internal],"Not rated"),"Not rated")</f>
        <v>#VALUE!</v>
      </c>
      <c r="D93" s="432" t="s">
        <v>1365</v>
      </c>
      <c r="E93" s="443" t="s">
        <v>87</v>
      </c>
    </row>
    <row r="94" spans="1:5" ht="15" customHeight="1" x14ac:dyDescent="0.25">
      <c r="A94" s="462" t="s">
        <v>224</v>
      </c>
      <c r="B94" s="403" t="str">
        <f>_xlfn.XLOOKUP(tbl_cleaning[[#This Row],[Scheme/Estate]],[1]!tbl_survey[Scheme Name],[1]!tbl_survey[Internal],"Not rated")</f>
        <v>Not rated</v>
      </c>
      <c r="C94" s="403" t="e">
        <f t="array" ref="C94">IF(DATEVALUE([1]!tbl_survey[Date of inspection])&gt;DATEVALUE(B90),_xlfn.XLOOKUP(tbl_cleaning[[#This Row],[Scheme/Estate]],[1]!tbl_survey[Scheme Name],[1]!tbl_survey[Internal],"Not rated"),"Not rated")</f>
        <v>#VALUE!</v>
      </c>
      <c r="D94" s="432" t="s">
        <v>1364</v>
      </c>
      <c r="E94" s="450" t="s">
        <v>60</v>
      </c>
    </row>
    <row r="95" spans="1:5" ht="15" customHeight="1" x14ac:dyDescent="0.25">
      <c r="A95" s="467" t="s">
        <v>1325</v>
      </c>
      <c r="B95" s="403" t="str">
        <f>_xlfn.XLOOKUP(tbl_cleaning[[#This Row],[Scheme/Estate]],[1]!tbl_survey[Scheme Name],[1]!tbl_survey[Internal],"Not rated")</f>
        <v>Not rated</v>
      </c>
      <c r="C95" s="403" t="e">
        <f t="array" ref="C95">IF(DATEVALUE([1]!tbl_survey[Date of inspection])&gt;DATEVALUE(B91),_xlfn.XLOOKUP(tbl_cleaning[[#This Row],[Scheme/Estate]],[1]!tbl_survey[Scheme Name],[1]!tbl_survey[Internal],"Not rated"),"Not rated")</f>
        <v>#VALUE!</v>
      </c>
      <c r="D95" s="432" t="s">
        <v>1381</v>
      </c>
      <c r="E95" s="446" t="s">
        <v>60</v>
      </c>
    </row>
    <row r="96" spans="1:5" ht="15" customHeight="1" x14ac:dyDescent="0.25">
      <c r="A96" s="467" t="s">
        <v>232</v>
      </c>
      <c r="B96" s="403">
        <f>_xlfn.XLOOKUP(tbl_cleaning[[#This Row],[Scheme/Estate]],[1]!tbl_survey[Scheme Name],[1]!tbl_survey[Internal],"Not rated")</f>
        <v>3</v>
      </c>
      <c r="C96" s="403" t="e">
        <f t="array" ref="C96">IF(DATEVALUE([1]!tbl_survey[Date of inspection])&gt;DATEVALUE(B92),_xlfn.XLOOKUP(tbl_cleaning[[#This Row],[Scheme/Estate]],[1]!tbl_survey[Scheme Name],[1]!tbl_survey[Internal],"Not rated"),"Not rated")</f>
        <v>#VALUE!</v>
      </c>
      <c r="D96" s="432" t="s">
        <v>1368</v>
      </c>
      <c r="E96" s="154" t="s">
        <v>60</v>
      </c>
    </row>
    <row r="97" spans="1:5" ht="15" customHeight="1" x14ac:dyDescent="0.25">
      <c r="A97" s="391" t="s">
        <v>233</v>
      </c>
      <c r="B97" s="403" t="str">
        <f>_xlfn.XLOOKUP(tbl_cleaning[[#This Row],[Scheme/Estate]],[1]!tbl_survey[Scheme Name],[1]!tbl_survey[Internal],"Not rated")</f>
        <v>Not rated</v>
      </c>
      <c r="C97" s="403" t="e">
        <f t="array" ref="C97">IF(DATEVALUE([1]!tbl_survey[Date of inspection])&gt;DATEVALUE(B93),_xlfn.XLOOKUP(tbl_cleaning[[#This Row],[Scheme/Estate]],[1]!tbl_survey[Scheme Name],[1]!tbl_survey[Internal],"Not rated"),"Not rated")</f>
        <v>#VALUE!</v>
      </c>
      <c r="D97" s="432" t="s">
        <v>1379</v>
      </c>
      <c r="E97" s="154" t="s">
        <v>58</v>
      </c>
    </row>
    <row r="98" spans="1:5" ht="15" customHeight="1" x14ac:dyDescent="0.25">
      <c r="A98" s="462" t="s">
        <v>234</v>
      </c>
      <c r="B98" s="403" t="str">
        <f>_xlfn.XLOOKUP(tbl_cleaning[[#This Row],[Scheme/Estate]],[1]!tbl_survey[Scheme Name],[1]!tbl_survey[Internal],"Not rated")</f>
        <v>Not rated</v>
      </c>
      <c r="C98" s="403" t="e">
        <f t="array" ref="C98">IF(DATEVALUE([1]!tbl_survey[Date of inspection])&gt;DATEVALUE(B94),_xlfn.XLOOKUP(tbl_cleaning[[#This Row],[Scheme/Estate]],[1]!tbl_survey[Scheme Name],[1]!tbl_survey[Internal],"Not rated"),"Not rated")</f>
        <v>#VALUE!</v>
      </c>
      <c r="D98" s="432" t="s">
        <v>1381</v>
      </c>
      <c r="E98" s="450" t="s">
        <v>60</v>
      </c>
    </row>
    <row r="99" spans="1:5" ht="15" customHeight="1" x14ac:dyDescent="0.25">
      <c r="A99" s="462" t="s">
        <v>235</v>
      </c>
      <c r="B99" s="403" t="str">
        <f>_xlfn.XLOOKUP(tbl_cleaning[[#This Row],[Scheme/Estate]],[1]!tbl_survey[Scheme Name],[1]!tbl_survey[Internal],"Not rated")</f>
        <v>Not rated</v>
      </c>
      <c r="C99" s="403" t="e">
        <f t="array" ref="C99">IF(DATEVALUE([1]!tbl_survey[Date of inspection])&gt;DATEVALUE(B95),_xlfn.XLOOKUP(tbl_cleaning[[#This Row],[Scheme/Estate]],[1]!tbl_survey[Scheme Name],[1]!tbl_survey[Internal],"Not rated"),"Not rated")</f>
        <v>#VALUE!</v>
      </c>
      <c r="D99" s="432" t="s">
        <v>1369</v>
      </c>
      <c r="E99" s="447" t="s">
        <v>58</v>
      </c>
    </row>
    <row r="100" spans="1:5" ht="15" customHeight="1" x14ac:dyDescent="0.25">
      <c r="A100" s="467" t="s">
        <v>236</v>
      </c>
      <c r="B100" s="403" t="str">
        <f>_xlfn.XLOOKUP(tbl_cleaning[[#This Row],[Scheme/Estate]],[1]!tbl_survey[Scheme Name],[1]!tbl_survey[Internal],"Not rated")</f>
        <v>Not rated</v>
      </c>
      <c r="C100" s="403" t="e">
        <f t="array" ref="C100">IF(DATEVALUE([1]!tbl_survey[Date of inspection])&gt;DATEVALUE(B96),_xlfn.XLOOKUP(tbl_cleaning[[#This Row],[Scheme/Estate]],[1]!tbl_survey[Scheme Name],[1]!tbl_survey[Internal],"Not rated"),"Not rated")</f>
        <v>#VALUE!</v>
      </c>
      <c r="D100" s="432" t="s">
        <v>1375</v>
      </c>
      <c r="E100" s="447" t="s">
        <v>60</v>
      </c>
    </row>
    <row r="101" spans="1:5" ht="15" customHeight="1" x14ac:dyDescent="0.25">
      <c r="A101" s="462" t="s">
        <v>1426</v>
      </c>
      <c r="B101" s="403">
        <f>_xlfn.XLOOKUP(tbl_cleaning[[#This Row],[Scheme/Estate]],[1]!tbl_survey[Scheme Name],[1]!tbl_survey[Internal],"Not rated")</f>
        <v>3</v>
      </c>
      <c r="C101" s="403" t="e">
        <f t="array" ref="C101">IF(DATEVALUE([1]!tbl_survey[Date of inspection])&gt;DATEVALUE(B97),_xlfn.XLOOKUP(tbl_cleaning[[#This Row],[Scheme/Estate]],[1]!tbl_survey[Scheme Name],[1]!tbl_survey[Internal],"Not rated"),"Not rated")</f>
        <v>#VALUE!</v>
      </c>
      <c r="D101" s="432" t="s">
        <v>1364</v>
      </c>
      <c r="E101" s="447" t="s">
        <v>60</v>
      </c>
    </row>
    <row r="102" spans="1:5" ht="15" customHeight="1" x14ac:dyDescent="0.25">
      <c r="A102" s="462" t="s">
        <v>237</v>
      </c>
      <c r="B102" s="403" t="str">
        <f>_xlfn.XLOOKUP(tbl_cleaning[[#This Row],[Scheme/Estate]],[1]!tbl_survey[Scheme Name],[1]!tbl_survey[Internal],"Not rated")</f>
        <v>Not rated</v>
      </c>
      <c r="C102" s="403" t="e">
        <f t="array" ref="C102">IF(DATEVALUE([1]!tbl_survey[Date of inspection])&gt;DATEVALUE(B98),_xlfn.XLOOKUP(tbl_cleaning[[#This Row],[Scheme/Estate]],[1]!tbl_survey[Scheme Name],[1]!tbl_survey[Internal],"Not rated"),"Not rated")</f>
        <v>#VALUE!</v>
      </c>
      <c r="D102" s="432" t="s">
        <v>1364</v>
      </c>
      <c r="E102" s="446" t="s">
        <v>60</v>
      </c>
    </row>
    <row r="103" spans="1:5" ht="15" customHeight="1" x14ac:dyDescent="0.25">
      <c r="A103" s="462" t="s">
        <v>238</v>
      </c>
      <c r="B103" s="403" t="str">
        <f>_xlfn.XLOOKUP(tbl_cleaning[[#This Row],[Scheme/Estate]],[1]!tbl_survey[Scheme Name],[1]!tbl_survey[Internal],"Not rated")</f>
        <v>Not rated</v>
      </c>
      <c r="C103" s="403" t="e">
        <f t="array" ref="C103">IF(DATEVALUE([1]!tbl_survey[Date of inspection])&gt;DATEVALUE(B99),_xlfn.XLOOKUP(tbl_cleaning[[#This Row],[Scheme/Estate]],[1]!tbl_survey[Scheme Name],[1]!tbl_survey[Internal],"Not rated"),"Not rated")</f>
        <v>#VALUE!</v>
      </c>
      <c r="D103" s="432" t="s">
        <v>1364</v>
      </c>
      <c r="E103" s="154" t="s">
        <v>60</v>
      </c>
    </row>
    <row r="104" spans="1:5" ht="15" customHeight="1" x14ac:dyDescent="0.25">
      <c r="A104" s="465" t="s">
        <v>239</v>
      </c>
      <c r="B104" s="403" t="str">
        <f>_xlfn.XLOOKUP(tbl_cleaning[[#This Row],[Scheme/Estate]],[1]!tbl_survey[Scheme Name],[1]!tbl_survey[Internal],"Not rated")</f>
        <v>Not rated</v>
      </c>
      <c r="C104" s="403" t="e">
        <f t="array" ref="C104">IF(DATEVALUE([1]!tbl_survey[Date of inspection])&gt;DATEVALUE(B100),_xlfn.XLOOKUP(tbl_cleaning[[#This Row],[Scheme/Estate]],[1]!tbl_survey[Scheme Name],[1]!tbl_survey[Internal],"Not rated"),"Not rated")</f>
        <v>#VALUE!</v>
      </c>
      <c r="D104" s="432" t="s">
        <v>1364</v>
      </c>
      <c r="E104" s="154" t="s">
        <v>60</v>
      </c>
    </row>
    <row r="105" spans="1:5" ht="15" customHeight="1" x14ac:dyDescent="0.25">
      <c r="A105" s="462" t="s">
        <v>240</v>
      </c>
      <c r="B105" s="403" t="str">
        <f>_xlfn.XLOOKUP(tbl_cleaning[[#This Row],[Scheme/Estate]],[1]!tbl_survey[Scheme Name],[1]!tbl_survey[Internal],"Not rated")</f>
        <v>Not rated</v>
      </c>
      <c r="C105" s="403" t="e">
        <f t="array" ref="C105">IF(DATEVALUE([1]!tbl_survey[Date of inspection])&gt;DATEVALUE(B101),_xlfn.XLOOKUP(tbl_cleaning[[#This Row],[Scheme/Estate]],[1]!tbl_survey[Scheme Name],[1]!tbl_survey[Internal],"Not rated"),"Not rated")</f>
        <v>#VALUE!</v>
      </c>
      <c r="D105" s="432" t="s">
        <v>1378</v>
      </c>
      <c r="E105" s="451" t="s">
        <v>87</v>
      </c>
    </row>
    <row r="106" spans="1:5" ht="15" customHeight="1" x14ac:dyDescent="0.25">
      <c r="A106" s="467" t="s">
        <v>241</v>
      </c>
      <c r="B106" s="403" t="str">
        <f>_xlfn.XLOOKUP(tbl_cleaning[[#This Row],[Scheme/Estate]],[1]!tbl_survey[Scheme Name],[1]!tbl_survey[Internal],"Not rated")</f>
        <v>Not rated</v>
      </c>
      <c r="C106" s="403" t="e">
        <f t="array" ref="C106">IF(DATEVALUE([1]!tbl_survey[Date of inspection])&gt;DATEVALUE(B102),_xlfn.XLOOKUP(tbl_cleaning[[#This Row],[Scheme/Estate]],[1]!tbl_survey[Scheme Name],[1]!tbl_survey[Internal],"Not rated"),"Not rated")</f>
        <v>#VALUE!</v>
      </c>
      <c r="D106" s="432" t="s">
        <v>1378</v>
      </c>
      <c r="E106" s="443" t="s">
        <v>87</v>
      </c>
    </row>
    <row r="107" spans="1:5" ht="15" customHeight="1" x14ac:dyDescent="0.25">
      <c r="A107" s="462" t="s">
        <v>242</v>
      </c>
      <c r="B107" s="403" t="str">
        <f>_xlfn.XLOOKUP(tbl_cleaning[[#This Row],[Scheme/Estate]],[1]!tbl_survey[Scheme Name],[1]!tbl_survey[Internal],"Not rated")</f>
        <v>Not rated</v>
      </c>
      <c r="C107" s="403" t="e">
        <f t="array" ref="C107">IF(DATEVALUE([1]!tbl_survey[Date of inspection])&gt;DATEVALUE(B103),_xlfn.XLOOKUP(tbl_cleaning[[#This Row],[Scheme/Estate]],[1]!tbl_survey[Scheme Name],[1]!tbl_survey[Internal],"Not rated"),"Not rated")</f>
        <v>#VALUE!</v>
      </c>
      <c r="D107" s="432" t="s">
        <v>1375</v>
      </c>
      <c r="E107" s="449" t="s">
        <v>60</v>
      </c>
    </row>
    <row r="108" spans="1:5" ht="15" customHeight="1" x14ac:dyDescent="0.25">
      <c r="A108" s="471" t="s">
        <v>1326</v>
      </c>
      <c r="B108" s="403" t="str">
        <f>_xlfn.XLOOKUP(tbl_cleaning[[#This Row],[Scheme/Estate]],[1]!tbl_survey[Scheme Name],[1]!tbl_survey[Internal],"Not rated")</f>
        <v>Not rated</v>
      </c>
      <c r="C108" s="403" t="e">
        <f t="array" ref="C108">IF(DATEVALUE([1]!tbl_survey[Date of inspection])&gt;DATEVALUE(B104),_xlfn.XLOOKUP(tbl_cleaning[[#This Row],[Scheme/Estate]],[1]!tbl_survey[Scheme Name],[1]!tbl_survey[Internal],"Not rated"),"Not rated")</f>
        <v>#VALUE!</v>
      </c>
      <c r="D108" s="432" t="s">
        <v>1381</v>
      </c>
      <c r="E108" s="154" t="s">
        <v>60</v>
      </c>
    </row>
    <row r="109" spans="1:5" ht="15" customHeight="1" x14ac:dyDescent="0.25">
      <c r="A109" s="462" t="s">
        <v>244</v>
      </c>
      <c r="B109" s="403" t="str">
        <f>_xlfn.XLOOKUP(tbl_cleaning[[#This Row],[Scheme/Estate]],[1]!tbl_survey[Scheme Name],[1]!tbl_survey[Internal],"Not rated")</f>
        <v>Not rated</v>
      </c>
      <c r="C109" s="403" t="e">
        <f t="array" ref="C109">IF(DATEVALUE([1]!tbl_survey[Date of inspection])&gt;DATEVALUE(B105),_xlfn.XLOOKUP(tbl_cleaning[[#This Row],[Scheme/Estate]],[1]!tbl_survey[Scheme Name],[1]!tbl_survey[Internal],"Not rated"),"Not rated")</f>
        <v>#VALUE!</v>
      </c>
      <c r="D109" s="432" t="s">
        <v>1381</v>
      </c>
      <c r="E109" s="450" t="s">
        <v>60</v>
      </c>
    </row>
    <row r="110" spans="1:5" s="21" customFormat="1" ht="15" customHeight="1" x14ac:dyDescent="0.25">
      <c r="A110" s="462" t="s">
        <v>245</v>
      </c>
      <c r="B110" s="403" t="str">
        <f>_xlfn.XLOOKUP(tbl_cleaning[[#This Row],[Scheme/Estate]],[1]!tbl_survey[Scheme Name],[1]!tbl_survey[Internal],"Not rated")</f>
        <v>Not rated</v>
      </c>
      <c r="C110" s="403" t="e">
        <f t="array" ref="C110">IF(DATEVALUE([1]!tbl_survey[Date of inspection])&gt;DATEVALUE(B106),_xlfn.XLOOKUP(tbl_cleaning[[#This Row],[Scheme/Estate]],[1]!tbl_survey[Scheme Name],[1]!tbl_survey[Internal],"Not rated"),"Not rated")</f>
        <v>#VALUE!</v>
      </c>
      <c r="D110" s="432" t="s">
        <v>1381</v>
      </c>
      <c r="E110" s="446" t="s">
        <v>60</v>
      </c>
    </row>
    <row r="111" spans="1:5" s="21" customFormat="1" ht="15" customHeight="1" x14ac:dyDescent="0.25">
      <c r="A111" s="462" t="s">
        <v>1327</v>
      </c>
      <c r="B111" s="403" t="str">
        <f>_xlfn.XLOOKUP(tbl_cleaning[[#This Row],[Scheme/Estate]],[1]!tbl_survey[Scheme Name],[1]!tbl_survey[Internal],"Not rated")</f>
        <v>Not rated</v>
      </c>
      <c r="C111" s="403" t="e">
        <f t="array" ref="C111">IF(DATEVALUE([1]!tbl_survey[Date of inspection])&gt;DATEVALUE(B107),_xlfn.XLOOKUP(tbl_cleaning[[#This Row],[Scheme/Estate]],[1]!tbl_survey[Scheme Name],[1]!tbl_survey[Internal],"Not rated"),"Not rated")</f>
        <v>#VALUE!</v>
      </c>
      <c r="D111" s="432" t="s">
        <v>1381</v>
      </c>
      <c r="E111" s="154" t="s">
        <v>60</v>
      </c>
    </row>
    <row r="112" spans="1:5" ht="15" customHeight="1" x14ac:dyDescent="0.25">
      <c r="A112" s="462" t="s">
        <v>1328</v>
      </c>
      <c r="B112" s="403" t="str">
        <f>_xlfn.XLOOKUP(tbl_cleaning[[#This Row],[Scheme/Estate]],[1]!tbl_survey[Scheme Name],[1]!tbl_survey[Internal],"Not rated")</f>
        <v>Not rated</v>
      </c>
      <c r="C112" s="403" t="e">
        <f t="array" ref="C112">IF(DATEVALUE([1]!tbl_survey[Date of inspection])&gt;DATEVALUE(B108),_xlfn.XLOOKUP(tbl_cleaning[[#This Row],[Scheme/Estate]],[1]!tbl_survey[Scheme Name],[1]!tbl_survey[Internal],"Not rated"),"Not rated")</f>
        <v>#VALUE!</v>
      </c>
      <c r="D112" s="432" t="s">
        <v>1381</v>
      </c>
      <c r="E112" s="154" t="s">
        <v>60</v>
      </c>
    </row>
    <row r="113" spans="1:5" ht="15" customHeight="1" x14ac:dyDescent="0.25">
      <c r="A113" s="462" t="s">
        <v>1329</v>
      </c>
      <c r="B113" s="403" t="str">
        <f>_xlfn.XLOOKUP(tbl_cleaning[[#This Row],[Scheme/Estate]],[1]!tbl_survey[Scheme Name],[1]!tbl_survey[Internal],"Not rated")</f>
        <v>Not rated</v>
      </c>
      <c r="C113" s="403" t="e">
        <f t="array" ref="C113">IF(DATEVALUE([1]!tbl_survey[Date of inspection])&gt;DATEVALUE(B109),_xlfn.XLOOKUP(tbl_cleaning[[#This Row],[Scheme/Estate]],[1]!tbl_survey[Scheme Name],[1]!tbl_survey[Internal],"Not rated"),"Not rated")</f>
        <v>#VALUE!</v>
      </c>
      <c r="D113" s="432" t="s">
        <v>1381</v>
      </c>
      <c r="E113" s="154" t="s">
        <v>60</v>
      </c>
    </row>
    <row r="114" spans="1:5" ht="15" customHeight="1" x14ac:dyDescent="0.25">
      <c r="A114" s="462" t="s">
        <v>1430</v>
      </c>
      <c r="B114" s="403" t="str">
        <f>_xlfn.XLOOKUP(tbl_cleaning[[#This Row],[Scheme/Estate]],[1]!tbl_survey[Scheme Name],[1]!tbl_survey[Internal],"Not rated")</f>
        <v>Not rated</v>
      </c>
      <c r="C114" s="403" t="e">
        <f t="array" ref="C114">IF(DATEVALUE([1]!tbl_survey[Date of inspection])&gt;DATEVALUE(B110),_xlfn.XLOOKUP(tbl_cleaning[[#This Row],[Scheme/Estate]],[1]!tbl_survey[Scheme Name],[1]!tbl_survey[Internal],"Not rated"),"Not rated")</f>
        <v>#VALUE!</v>
      </c>
      <c r="D114" s="432" t="s">
        <v>1369</v>
      </c>
      <c r="E114" s="449" t="s">
        <v>58</v>
      </c>
    </row>
    <row r="115" spans="1:5" ht="15" customHeight="1" x14ac:dyDescent="0.25">
      <c r="A115" s="462" t="s">
        <v>1431</v>
      </c>
      <c r="B115" s="403" t="str">
        <f>_xlfn.XLOOKUP(tbl_cleaning[[#This Row],[Scheme/Estate]],[1]!tbl_survey[Scheme Name],[1]!tbl_survey[Internal],"Not rated")</f>
        <v>Not rated</v>
      </c>
      <c r="C115" s="403" t="e">
        <f t="array" ref="C115">IF(DATEVALUE([1]!tbl_survey[Date of inspection])&gt;DATEVALUE(B111),_xlfn.XLOOKUP(tbl_cleaning[[#This Row],[Scheme/Estate]],[1]!tbl_survey[Scheme Name],[1]!tbl_survey[Internal],"Not rated"),"Not rated")</f>
        <v>#VALUE!</v>
      </c>
      <c r="D115" s="432" t="s">
        <v>1432</v>
      </c>
      <c r="E115" s="154" t="s">
        <v>58</v>
      </c>
    </row>
    <row r="116" spans="1:5" ht="15" customHeight="1" x14ac:dyDescent="0.25">
      <c r="A116" s="462" t="s">
        <v>251</v>
      </c>
      <c r="B116" s="403" t="str">
        <f>_xlfn.XLOOKUP(tbl_cleaning[[#This Row],[Scheme/Estate]],[1]!tbl_survey[Scheme Name],[1]!tbl_survey[Internal],"Not rated")</f>
        <v>Not rated</v>
      </c>
      <c r="C116" s="403" t="e">
        <f t="array" ref="C116">IF(DATEVALUE([1]!tbl_survey[Date of inspection])&gt;DATEVALUE(B112),_xlfn.XLOOKUP(tbl_cleaning[[#This Row],[Scheme/Estate]],[1]!tbl_survey[Scheme Name],[1]!tbl_survey[Internal],"Not rated"),"Not rated")</f>
        <v>#VALUE!</v>
      </c>
      <c r="D116" s="435" t="s">
        <v>1365</v>
      </c>
      <c r="E116" s="443" t="s">
        <v>87</v>
      </c>
    </row>
    <row r="117" spans="1:5" s="21" customFormat="1" ht="15" customHeight="1" x14ac:dyDescent="0.25">
      <c r="A117" s="471" t="s">
        <v>252</v>
      </c>
      <c r="B117" s="403" t="str">
        <f>_xlfn.XLOOKUP(tbl_cleaning[[#This Row],[Scheme/Estate]],[1]!tbl_survey[Scheme Name],[1]!tbl_survey[Internal],"Not rated")</f>
        <v>Not rated</v>
      </c>
      <c r="C117" s="403" t="e">
        <f t="array" ref="C117">IF(DATEVALUE([1]!tbl_survey[Date of inspection])&gt;DATEVALUE(B113),_xlfn.XLOOKUP(tbl_cleaning[[#This Row],[Scheme/Estate]],[1]!tbl_survey[Scheme Name],[1]!tbl_survey[Internal],"Not rated"),"Not rated")</f>
        <v>#VALUE!</v>
      </c>
      <c r="D117" s="432" t="s">
        <v>1364</v>
      </c>
      <c r="E117" s="154" t="s">
        <v>60</v>
      </c>
    </row>
    <row r="118" spans="1:5" ht="15" customHeight="1" x14ac:dyDescent="0.25">
      <c r="A118" s="462" t="s">
        <v>1408</v>
      </c>
      <c r="B118" s="403" t="str">
        <f>_xlfn.XLOOKUP(tbl_cleaning[[#This Row],[Scheme/Estate]],[1]!tbl_survey[Scheme Name],[1]!tbl_survey[Internal],"Not rated")</f>
        <v>Not rated</v>
      </c>
      <c r="C118" s="403" t="e">
        <f t="array" ref="C118">IF(DATEVALUE([1]!tbl_survey[Date of inspection])&gt;DATEVALUE(B114),_xlfn.XLOOKUP(tbl_cleaning[[#This Row],[Scheme/Estate]],[1]!tbl_survey[Scheme Name],[1]!tbl_survey[Internal],"Not rated"),"Not rated")</f>
        <v>#VALUE!</v>
      </c>
      <c r="D118" s="435" t="s">
        <v>1383</v>
      </c>
      <c r="E118" s="443" t="s">
        <v>87</v>
      </c>
    </row>
    <row r="119" spans="1:5" ht="15" customHeight="1" x14ac:dyDescent="0.25">
      <c r="A119" s="462" t="s">
        <v>257</v>
      </c>
      <c r="B119" s="403" t="str">
        <f>_xlfn.XLOOKUP(tbl_cleaning[[#This Row],[Scheme/Estate]],[1]!tbl_survey[Scheme Name],[1]!tbl_survey[Internal],"Not rated")</f>
        <v>Not rated</v>
      </c>
      <c r="C119" s="403" t="e">
        <f t="array" ref="C119">IF(DATEVALUE([1]!tbl_survey[Date of inspection])&gt;DATEVALUE(B115),_xlfn.XLOOKUP(tbl_cleaning[[#This Row],[Scheme/Estate]],[1]!tbl_survey[Scheme Name],[1]!tbl_survey[Internal],"Not rated"),"Not rated")</f>
        <v>#VALUE!</v>
      </c>
      <c r="D119" s="432" t="s">
        <v>1368</v>
      </c>
      <c r="E119" s="154" t="s">
        <v>60</v>
      </c>
    </row>
    <row r="120" spans="1:5" s="21" customFormat="1" ht="15" customHeight="1" x14ac:dyDescent="0.25">
      <c r="A120" s="465" t="s">
        <v>258</v>
      </c>
      <c r="B120" s="403" t="str">
        <f>_xlfn.XLOOKUP(tbl_cleaning[[#This Row],[Scheme/Estate]],[1]!tbl_survey[Scheme Name],[1]!tbl_survey[Internal],"Not rated")</f>
        <v>Not rated</v>
      </c>
      <c r="C120" s="403" t="e">
        <f t="array" ref="C120">IF(DATEVALUE([1]!tbl_survey[Date of inspection])&gt;DATEVALUE(B116),_xlfn.XLOOKUP(tbl_cleaning[[#This Row],[Scheme/Estate]],[1]!tbl_survey[Scheme Name],[1]!tbl_survey[Internal],"Not rated"),"Not rated")</f>
        <v>#VALUE!</v>
      </c>
      <c r="D120" s="432" t="s">
        <v>1368</v>
      </c>
      <c r="E120" s="154" t="s">
        <v>60</v>
      </c>
    </row>
    <row r="121" spans="1:5" ht="15" customHeight="1" x14ac:dyDescent="0.25">
      <c r="A121" s="474" t="s">
        <v>259</v>
      </c>
      <c r="B121" s="403" t="str">
        <f>_xlfn.XLOOKUP(tbl_cleaning[[#This Row],[Scheme/Estate]],[1]!tbl_survey[Scheme Name],[1]!tbl_survey[Internal],"Not rated")</f>
        <v>Not rated</v>
      </c>
      <c r="C121" s="403" t="e">
        <f t="array" ref="C121">IF(DATEVALUE([1]!tbl_survey[Date of inspection])&gt;DATEVALUE(B117),_xlfn.XLOOKUP(tbl_cleaning[[#This Row],[Scheme/Estate]],[1]!tbl_survey[Scheme Name],[1]!tbl_survey[Internal],"Not rated"),"Not rated")</f>
        <v>#VALUE!</v>
      </c>
      <c r="D121" s="432" t="s">
        <v>1379</v>
      </c>
      <c r="E121" s="154" t="s">
        <v>58</v>
      </c>
    </row>
    <row r="122" spans="1:5" ht="15" customHeight="1" x14ac:dyDescent="0.25">
      <c r="A122" s="462" t="s">
        <v>260</v>
      </c>
      <c r="B122" s="403" t="str">
        <f>_xlfn.XLOOKUP(tbl_cleaning[[#This Row],[Scheme/Estate]],[1]!tbl_survey[Scheme Name],[1]!tbl_survey[Internal],"Not rated")</f>
        <v>Not rated</v>
      </c>
      <c r="C122" s="403" t="e">
        <f t="array" ref="C122">IF(DATEVALUE([1]!tbl_survey[Date of inspection])&gt;DATEVALUE(B118),_xlfn.XLOOKUP(tbl_cleaning[[#This Row],[Scheme/Estate]],[1]!tbl_survey[Scheme Name],[1]!tbl_survey[Internal],"Not rated"),"Not rated")</f>
        <v>#VALUE!</v>
      </c>
      <c r="D122" s="432" t="s">
        <v>1365</v>
      </c>
      <c r="E122" s="451" t="s">
        <v>87</v>
      </c>
    </row>
    <row r="123" spans="1:5" ht="15" customHeight="1" x14ac:dyDescent="0.25">
      <c r="A123" s="391" t="s">
        <v>261</v>
      </c>
      <c r="B123" s="403">
        <f>_xlfn.XLOOKUP(tbl_cleaning[[#This Row],[Scheme/Estate]],[1]!tbl_survey[Scheme Name],[1]!tbl_survey[Internal],"Not rated")</f>
        <v>3</v>
      </c>
      <c r="C123" s="403" t="e">
        <f t="array" ref="C123">IF(DATEVALUE([1]!tbl_survey[Date of inspection])&gt;DATEVALUE(B119),_xlfn.XLOOKUP(tbl_cleaning[[#This Row],[Scheme/Estate]],[1]!tbl_survey[Scheme Name],[1]!tbl_survey[Internal],"Not rated"),"Not rated")</f>
        <v>#VALUE!</v>
      </c>
      <c r="D123" s="432" t="s">
        <v>1383</v>
      </c>
      <c r="E123" s="154" t="s">
        <v>87</v>
      </c>
    </row>
    <row r="124" spans="1:5" s="21" customFormat="1" ht="15" customHeight="1" x14ac:dyDescent="0.25">
      <c r="A124" s="462" t="s">
        <v>262</v>
      </c>
      <c r="B124" s="403">
        <f>_xlfn.XLOOKUP(tbl_cleaning[[#This Row],[Scheme/Estate]],[1]!tbl_survey[Scheme Name],[1]!tbl_survey[Internal],"Not rated")</f>
        <v>4</v>
      </c>
      <c r="C124" s="403" t="e">
        <f t="array" ref="C124">IF(DATEVALUE([1]!tbl_survey[Date of inspection])&gt;DATEVALUE(B120),_xlfn.XLOOKUP(tbl_cleaning[[#This Row],[Scheme/Estate]],[1]!tbl_survey[Scheme Name],[1]!tbl_survey[Internal],"Not rated"),"Not rated")</f>
        <v>#VALUE!</v>
      </c>
      <c r="D124" s="432" t="s">
        <v>1365</v>
      </c>
      <c r="E124" s="453" t="s">
        <v>87</v>
      </c>
    </row>
    <row r="125" spans="1:5" ht="15" customHeight="1" x14ac:dyDescent="0.25">
      <c r="A125" s="462" t="s">
        <v>263</v>
      </c>
      <c r="B125" s="403">
        <f>_xlfn.XLOOKUP(tbl_cleaning[[#This Row],[Scheme/Estate]],[1]!tbl_survey[Scheme Name],[1]!tbl_survey[Internal],"Not rated")</f>
        <v>4</v>
      </c>
      <c r="C125" s="403" t="e">
        <f t="array" ref="C125">IF(DATEVALUE([1]!tbl_survey[Date of inspection])&gt;DATEVALUE(B121),_xlfn.XLOOKUP(tbl_cleaning[[#This Row],[Scheme/Estate]],[1]!tbl_survey[Scheme Name],[1]!tbl_survey[Internal],"Not rated"),"Not rated")</f>
        <v>#VALUE!</v>
      </c>
      <c r="D125" s="432" t="s">
        <v>1365</v>
      </c>
      <c r="E125" s="452" t="s">
        <v>87</v>
      </c>
    </row>
    <row r="126" spans="1:5" ht="15" customHeight="1" x14ac:dyDescent="0.25">
      <c r="A126" s="475" t="s">
        <v>1438</v>
      </c>
      <c r="B126" s="403" t="str">
        <f>_xlfn.XLOOKUP(tbl_cleaning[[#This Row],[Scheme/Estate]],[1]!tbl_survey[Scheme Name],[1]!tbl_survey[Internal],"Not rated")</f>
        <v>Not rated</v>
      </c>
      <c r="C126" s="403" t="e">
        <f t="array" ref="C126">IF(DATEVALUE([1]!tbl_survey[Date of inspection])&gt;DATEVALUE(B122),_xlfn.XLOOKUP(tbl_cleaning[[#This Row],[Scheme/Estate]],[1]!tbl_survey[Scheme Name],[1]!tbl_survey[Internal],"Not rated"),"Not rated")</f>
        <v>#VALUE!</v>
      </c>
      <c r="D126" s="434" t="s">
        <v>1373</v>
      </c>
      <c r="E126" s="443" t="s">
        <v>58</v>
      </c>
    </row>
    <row r="127" spans="1:5" ht="15" customHeight="1" x14ac:dyDescent="0.25">
      <c r="A127" s="462" t="s">
        <v>265</v>
      </c>
      <c r="B127" s="403" t="str">
        <f>_xlfn.XLOOKUP(tbl_cleaning[[#This Row],[Scheme/Estate]],[1]!tbl_survey[Scheme Name],[1]!tbl_survey[Internal],"Not rated")</f>
        <v>Not rated</v>
      </c>
      <c r="C127" s="403" t="e">
        <f t="array" ref="C127">IF(DATEVALUE([1]!tbl_survey[Date of inspection])&gt;DATEVALUE(B123),_xlfn.XLOOKUP(tbl_cleaning[[#This Row],[Scheme/Estate]],[1]!tbl_survey[Scheme Name],[1]!tbl_survey[Internal],"Not rated"),"Not rated")</f>
        <v>#VALUE!</v>
      </c>
      <c r="D127" s="432" t="s">
        <v>1381</v>
      </c>
      <c r="E127" s="154" t="s">
        <v>60</v>
      </c>
    </row>
    <row r="128" spans="1:5" ht="15" customHeight="1" x14ac:dyDescent="0.25">
      <c r="A128" s="463" t="s">
        <v>266</v>
      </c>
      <c r="B128" s="403" t="str">
        <f>_xlfn.XLOOKUP(tbl_cleaning[[#This Row],[Scheme/Estate]],[1]!tbl_survey[Scheme Name],[1]!tbl_survey[Internal],"Not rated")</f>
        <v>Not rated</v>
      </c>
      <c r="C128" s="403" t="e">
        <f t="array" ref="C128">IF(DATEVALUE([1]!tbl_survey[Date of inspection])&gt;DATEVALUE(B124),_xlfn.XLOOKUP(tbl_cleaning[[#This Row],[Scheme/Estate]],[1]!tbl_survey[Scheme Name],[1]!tbl_survey[Internal],"Not rated"),"Not rated")</f>
        <v>#VALUE!</v>
      </c>
      <c r="D128" s="432" t="s">
        <v>1367</v>
      </c>
      <c r="E128" s="154" t="s">
        <v>93</v>
      </c>
    </row>
    <row r="129" spans="1:7" s="21" customFormat="1" ht="15" customHeight="1" x14ac:dyDescent="0.25">
      <c r="A129" s="463" t="s">
        <v>267</v>
      </c>
      <c r="B129" s="403" t="str">
        <f>_xlfn.XLOOKUP(tbl_cleaning[[#This Row],[Scheme/Estate]],[1]!tbl_survey[Scheme Name],[1]!tbl_survey[Internal],"Not rated")</f>
        <v>Not rated</v>
      </c>
      <c r="C129" s="403" t="e">
        <f t="array" ref="C129">IF(DATEVALUE([1]!tbl_survey[Date of inspection])&gt;DATEVALUE(B125),_xlfn.XLOOKUP(tbl_cleaning[[#This Row],[Scheme/Estate]],[1]!tbl_survey[Scheme Name],[1]!tbl_survey[Internal],"Not rated"),"Not rated")</f>
        <v>#VALUE!</v>
      </c>
      <c r="D129" s="432" t="s">
        <v>1376</v>
      </c>
      <c r="E129" s="449" t="s">
        <v>60</v>
      </c>
    </row>
    <row r="130" spans="1:7" s="21" customFormat="1" ht="15" customHeight="1" x14ac:dyDescent="0.25">
      <c r="A130" s="391" t="s">
        <v>268</v>
      </c>
      <c r="B130" s="403" t="str">
        <f>_xlfn.XLOOKUP(tbl_cleaning[[#This Row],[Scheme/Estate]],[1]!tbl_survey[Scheme Name],[1]!tbl_survey[Internal],"Not rated")</f>
        <v>Not rated</v>
      </c>
      <c r="C130" s="403" t="e">
        <f t="array" ref="C130">IF(DATEVALUE([1]!tbl_survey[Date of inspection])&gt;DATEVALUE(B126),_xlfn.XLOOKUP(tbl_cleaning[[#This Row],[Scheme/Estate]],[1]!tbl_survey[Scheme Name],[1]!tbl_survey[Internal],"Not rated"),"Not rated")</f>
        <v>#VALUE!</v>
      </c>
      <c r="D130" s="432" t="s">
        <v>1379</v>
      </c>
      <c r="E130" s="154" t="s">
        <v>58</v>
      </c>
      <c r="F130" s="42"/>
      <c r="G130" s="42"/>
    </row>
    <row r="131" spans="1:7" ht="15" customHeight="1" x14ac:dyDescent="0.25">
      <c r="A131" s="462" t="s">
        <v>270</v>
      </c>
      <c r="B131" s="403" t="str">
        <f>_xlfn.XLOOKUP(tbl_cleaning[[#This Row],[Scheme/Estate]],[1]!tbl_survey[Scheme Name],[1]!tbl_survey[Internal],"Not rated")</f>
        <v>Not rated</v>
      </c>
      <c r="C131" s="403" t="e">
        <f t="array" ref="C131">IF(DATEVALUE([1]!tbl_survey[Date of inspection])&gt;DATEVALUE(B127),_xlfn.XLOOKUP(tbl_cleaning[[#This Row],[Scheme/Estate]],[1]!tbl_survey[Scheme Name],[1]!tbl_survey[Internal],"Not rated"),"Not rated")</f>
        <v>#VALUE!</v>
      </c>
      <c r="D131" s="432" t="s">
        <v>1383</v>
      </c>
      <c r="E131" s="443" t="s">
        <v>87</v>
      </c>
      <c r="F131" s="6"/>
      <c r="G131" s="6"/>
    </row>
    <row r="132" spans="1:7" ht="15" customHeight="1" x14ac:dyDescent="0.25">
      <c r="A132" s="462" t="s">
        <v>1330</v>
      </c>
      <c r="B132" s="403" t="str">
        <f>_xlfn.XLOOKUP(tbl_cleaning[[#This Row],[Scheme/Estate]],[1]!tbl_survey[Scheme Name],[1]!tbl_survey[Internal],"Not rated")</f>
        <v>Not rated</v>
      </c>
      <c r="C132" s="403" t="e">
        <f t="array" ref="C132">IF(DATEVALUE([1]!tbl_survey[Date of inspection])&gt;DATEVALUE(B128),_xlfn.XLOOKUP(tbl_cleaning[[#This Row],[Scheme/Estate]],[1]!tbl_survey[Scheme Name],[1]!tbl_survey[Internal],"Not rated"),"Not rated")</f>
        <v>#VALUE!</v>
      </c>
      <c r="D132" s="432" t="s">
        <v>1375</v>
      </c>
      <c r="E132" s="154" t="s">
        <v>60</v>
      </c>
      <c r="F132" s="6"/>
      <c r="G132" s="6"/>
    </row>
    <row r="133" spans="1:7" ht="15" customHeight="1" x14ac:dyDescent="0.25">
      <c r="A133" s="470" t="s">
        <v>272</v>
      </c>
      <c r="B133" s="403" t="str">
        <f>_xlfn.XLOOKUP(tbl_cleaning[[#This Row],[Scheme/Estate]],[1]!tbl_survey[Scheme Name],[1]!tbl_survey[Internal],"Not rated")</f>
        <v>Not rated</v>
      </c>
      <c r="C133" s="403" t="e">
        <f t="array" ref="C133">IF(DATEVALUE([1]!tbl_survey[Date of inspection])&gt;DATEVALUE(B129),_xlfn.XLOOKUP(tbl_cleaning[[#This Row],[Scheme/Estate]],[1]!tbl_survey[Scheme Name],[1]!tbl_survey[Internal],"Not rated"),"Not rated")</f>
        <v>#VALUE!</v>
      </c>
      <c r="D133" s="432" t="s">
        <v>1380</v>
      </c>
      <c r="E133" s="154" t="s">
        <v>60</v>
      </c>
      <c r="F133" s="6"/>
      <c r="G133" s="6"/>
    </row>
    <row r="134" spans="1:7" ht="15" customHeight="1" x14ac:dyDescent="0.25">
      <c r="A134" s="462" t="s">
        <v>273</v>
      </c>
      <c r="B134" s="403" t="str">
        <f>_xlfn.XLOOKUP(tbl_cleaning[[#This Row],[Scheme/Estate]],[1]!tbl_survey[Scheme Name],[1]!tbl_survey[Internal],"Not rated")</f>
        <v>Not rated</v>
      </c>
      <c r="C134" s="403" t="e">
        <f t="array" ref="C134">IF(DATEVALUE([1]!tbl_survey[Date of inspection])&gt;DATEVALUE(B130),_xlfn.XLOOKUP(tbl_cleaning[[#This Row],[Scheme/Estate]],[1]!tbl_survey[Scheme Name],[1]!tbl_survey[Internal],"Not rated"),"Not rated")</f>
        <v>#VALUE!</v>
      </c>
      <c r="D134" s="432" t="s">
        <v>1365</v>
      </c>
      <c r="E134" s="451" t="s">
        <v>87</v>
      </c>
      <c r="F134" s="6"/>
      <c r="G134" s="6"/>
    </row>
    <row r="135" spans="1:7" ht="15" customHeight="1" x14ac:dyDescent="0.25">
      <c r="A135" s="463" t="s">
        <v>277</v>
      </c>
      <c r="B135" s="403" t="str">
        <f>_xlfn.XLOOKUP(tbl_cleaning[[#This Row],[Scheme/Estate]],[1]!tbl_survey[Scheme Name],[1]!tbl_survey[Internal],"Not rated")</f>
        <v>Not rated</v>
      </c>
      <c r="C135" s="403" t="e">
        <f t="array" ref="C135">IF(DATEVALUE([1]!tbl_survey[Date of inspection])&gt;DATEVALUE(B131),_xlfn.XLOOKUP(tbl_cleaning[[#This Row],[Scheme/Estate]],[1]!tbl_survey[Scheme Name],[1]!tbl_survey[Internal],"Not rated"),"Not rated")</f>
        <v>#VALUE!</v>
      </c>
      <c r="D135" s="432" t="s">
        <v>1370</v>
      </c>
      <c r="E135" s="154" t="s">
        <v>93</v>
      </c>
      <c r="F135" s="6"/>
      <c r="G135" s="6"/>
    </row>
    <row r="136" spans="1:7" ht="15" customHeight="1" x14ac:dyDescent="0.25">
      <c r="A136" s="462" t="s">
        <v>278</v>
      </c>
      <c r="B136" s="403" t="str">
        <f>_xlfn.XLOOKUP(tbl_cleaning[[#This Row],[Scheme/Estate]],[1]!tbl_survey[Scheme Name],[1]!tbl_survey[Internal],"Not rated")</f>
        <v>Not rated</v>
      </c>
      <c r="C136" s="403" t="e">
        <f t="array" ref="C136">IF(DATEVALUE([1]!tbl_survey[Date of inspection])&gt;DATEVALUE(B132),_xlfn.XLOOKUP(tbl_cleaning[[#This Row],[Scheme/Estate]],[1]!tbl_survey[Scheme Name],[1]!tbl_survey[Internal],"Not rated"),"Not rated")</f>
        <v>#VALUE!</v>
      </c>
      <c r="D136" s="432" t="s">
        <v>1378</v>
      </c>
      <c r="E136" s="443" t="s">
        <v>87</v>
      </c>
      <c r="F136" s="6"/>
      <c r="G136" s="6"/>
    </row>
    <row r="137" spans="1:7" ht="15" customHeight="1" x14ac:dyDescent="0.25">
      <c r="A137" s="463" t="s">
        <v>279</v>
      </c>
      <c r="B137" s="403" t="str">
        <f>_xlfn.XLOOKUP(tbl_cleaning[[#This Row],[Scheme/Estate]],[1]!tbl_survey[Scheme Name],[1]!tbl_survey[Internal],"Not rated")</f>
        <v>Not rated</v>
      </c>
      <c r="C137" s="403" t="e">
        <f t="array" ref="C137">IF(DATEVALUE([1]!tbl_survey[Date of inspection])&gt;DATEVALUE(B133),_xlfn.XLOOKUP(tbl_cleaning[[#This Row],[Scheme/Estate]],[1]!tbl_survey[Scheme Name],[1]!tbl_survey[Internal],"Not rated"),"Not rated")</f>
        <v>#VALUE!</v>
      </c>
      <c r="D137" s="432" t="s">
        <v>1373</v>
      </c>
      <c r="E137" s="154" t="s">
        <v>58</v>
      </c>
      <c r="F137" s="6"/>
      <c r="G137" s="6"/>
    </row>
    <row r="138" spans="1:7" ht="15" customHeight="1" x14ac:dyDescent="0.25">
      <c r="A138" s="463" t="s">
        <v>280</v>
      </c>
      <c r="B138" s="403">
        <f>_xlfn.XLOOKUP(tbl_cleaning[[#This Row],[Scheme/Estate]],[1]!tbl_survey[Scheme Name],[1]!tbl_survey[Internal],"Not rated")</f>
        <v>3</v>
      </c>
      <c r="C138" s="403" t="e">
        <f t="array" ref="C138">IF(DATEVALUE([1]!tbl_survey[Date of inspection])&gt;DATEVALUE(B134),_xlfn.XLOOKUP(tbl_cleaning[[#This Row],[Scheme/Estate]],[1]!tbl_survey[Scheme Name],[1]!tbl_survey[Internal],"Not rated"),"Not rated")</f>
        <v>#VALUE!</v>
      </c>
      <c r="D138" s="432" t="s">
        <v>1382</v>
      </c>
      <c r="E138" s="449" t="s">
        <v>93</v>
      </c>
      <c r="F138" s="6"/>
      <c r="G138" s="6"/>
    </row>
    <row r="139" spans="1:7" ht="15" customHeight="1" x14ac:dyDescent="0.25">
      <c r="A139" s="463" t="s">
        <v>281</v>
      </c>
      <c r="B139" s="403" t="str">
        <f>_xlfn.XLOOKUP(tbl_cleaning[[#This Row],[Scheme/Estate]],[1]!tbl_survey[Scheme Name],[1]!tbl_survey[Internal],"Not rated")</f>
        <v>Not rated</v>
      </c>
      <c r="C139" s="403" t="e">
        <f t="array" ref="C139">IF(DATEVALUE([1]!tbl_survey[Date of inspection])&gt;DATEVALUE(B135),_xlfn.XLOOKUP(tbl_cleaning[[#This Row],[Scheme/Estate]],[1]!tbl_survey[Scheme Name],[1]!tbl_survey[Internal],"Not rated"),"Not rated")</f>
        <v>#VALUE!</v>
      </c>
      <c r="D139" s="432" t="s">
        <v>1388</v>
      </c>
      <c r="E139" s="154" t="s">
        <v>93</v>
      </c>
      <c r="F139" s="6"/>
      <c r="G139" s="6"/>
    </row>
    <row r="140" spans="1:7" ht="15" customHeight="1" x14ac:dyDescent="0.25">
      <c r="A140" s="463" t="s">
        <v>282</v>
      </c>
      <c r="B140" s="403" t="str">
        <f>_xlfn.XLOOKUP(tbl_cleaning[[#This Row],[Scheme/Estate]],[1]!tbl_survey[Scheme Name],[1]!tbl_survey[Internal],"Not rated")</f>
        <v>Not rated</v>
      </c>
      <c r="C140" s="403" t="e">
        <f t="array" ref="C140">IF(DATEVALUE([1]!tbl_survey[Date of inspection])&gt;DATEVALUE(B136),_xlfn.XLOOKUP(tbl_cleaning[[#This Row],[Scheme/Estate]],[1]!tbl_survey[Scheme Name],[1]!tbl_survey[Internal],"Not rated"),"Not rated")</f>
        <v>#VALUE!</v>
      </c>
      <c r="D140" s="432" t="s">
        <v>1363</v>
      </c>
      <c r="E140" s="154" t="s">
        <v>58</v>
      </c>
      <c r="F140" s="6"/>
      <c r="G140" s="6"/>
    </row>
    <row r="141" spans="1:7" ht="15" customHeight="1" x14ac:dyDescent="0.25">
      <c r="A141" s="463" t="s">
        <v>1409</v>
      </c>
      <c r="B141" s="403" t="str">
        <f>_xlfn.XLOOKUP(tbl_cleaning[[#This Row],[Scheme/Estate]],[1]!tbl_survey[Scheme Name],[1]!tbl_survey[Internal],"Not rated")</f>
        <v>Not rated</v>
      </c>
      <c r="C141" s="403" t="e">
        <f t="array" ref="C141">IF(DATEVALUE([1]!tbl_survey[Date of inspection])&gt;DATEVALUE(B137),_xlfn.XLOOKUP(tbl_cleaning[[#This Row],[Scheme/Estate]],[1]!tbl_survey[Scheme Name],[1]!tbl_survey[Internal],"Not rated"),"Not rated")</f>
        <v>#VALUE!</v>
      </c>
      <c r="D141" s="432" t="s">
        <v>1388</v>
      </c>
      <c r="E141" s="154" t="s">
        <v>93</v>
      </c>
      <c r="F141" s="6"/>
      <c r="G141" s="6"/>
    </row>
    <row r="142" spans="1:7" ht="15" customHeight="1" x14ac:dyDescent="0.25">
      <c r="A142" s="462" t="s">
        <v>284</v>
      </c>
      <c r="B142" s="403" t="str">
        <f>_xlfn.XLOOKUP(tbl_cleaning[[#This Row],[Scheme/Estate]],[1]!tbl_survey[Scheme Name],[1]!tbl_survey[Internal],"Not rated")</f>
        <v>Not rated</v>
      </c>
      <c r="C142" s="403" t="e">
        <f t="array" ref="C142">IF(DATEVALUE([1]!tbl_survey[Date of inspection])&gt;DATEVALUE(B138),_xlfn.XLOOKUP(tbl_cleaning[[#This Row],[Scheme/Estate]],[1]!tbl_survey[Scheme Name],[1]!tbl_survey[Internal],"Not rated"),"Not rated")</f>
        <v>#VALUE!</v>
      </c>
      <c r="D142" s="432" t="s">
        <v>1364</v>
      </c>
      <c r="E142" s="450" t="s">
        <v>60</v>
      </c>
      <c r="F142" s="6"/>
      <c r="G142" s="6"/>
    </row>
    <row r="143" spans="1:7" ht="15" customHeight="1" x14ac:dyDescent="0.25">
      <c r="A143" s="476" t="s">
        <v>285</v>
      </c>
      <c r="B143" s="403" t="str">
        <f>_xlfn.XLOOKUP(tbl_cleaning[[#This Row],[Scheme/Estate]],[1]!tbl_survey[Scheme Name],[1]!tbl_survey[Internal],"Not rated")</f>
        <v>Not rated</v>
      </c>
      <c r="C143" s="403" t="e">
        <f t="array" ref="C143">IF(DATEVALUE([1]!tbl_survey[Date of inspection])&gt;DATEVALUE(B139),_xlfn.XLOOKUP(tbl_cleaning[[#This Row],[Scheme/Estate]],[1]!tbl_survey[Scheme Name],[1]!tbl_survey[Internal],"Not rated"),"Not rated")</f>
        <v>#VALUE!</v>
      </c>
      <c r="D143" s="432" t="s">
        <v>1367</v>
      </c>
      <c r="E143" s="446" t="s">
        <v>93</v>
      </c>
      <c r="F143" s="6"/>
      <c r="G143" s="6"/>
    </row>
    <row r="144" spans="1:7" ht="15" customHeight="1" x14ac:dyDescent="0.25">
      <c r="A144" s="462" t="s">
        <v>288</v>
      </c>
      <c r="B144" s="403" t="str">
        <f>_xlfn.XLOOKUP(tbl_cleaning[[#This Row],[Scheme/Estate]],[1]!tbl_survey[Scheme Name],[1]!tbl_survey[Internal],"Not rated")</f>
        <v>Not rated</v>
      </c>
      <c r="C144" s="403" t="e">
        <f t="array" ref="C144">IF(DATEVALUE([1]!tbl_survey[Date of inspection])&gt;DATEVALUE(B140),_xlfn.XLOOKUP(tbl_cleaning[[#This Row],[Scheme/Estate]],[1]!tbl_survey[Scheme Name],[1]!tbl_survey[Internal],"Not rated"),"Not rated")</f>
        <v>#VALUE!</v>
      </c>
      <c r="D144" s="432" t="s">
        <v>1368</v>
      </c>
      <c r="E144" s="154" t="s">
        <v>60</v>
      </c>
      <c r="F144" s="6"/>
      <c r="G144" s="6"/>
    </row>
    <row r="145" spans="1:7" ht="15" customHeight="1" x14ac:dyDescent="0.25">
      <c r="A145" s="462" t="s">
        <v>289</v>
      </c>
      <c r="B145" s="403" t="str">
        <f>_xlfn.XLOOKUP(tbl_cleaning[[#This Row],[Scheme/Estate]],[1]!tbl_survey[Scheme Name],[1]!tbl_survey[Internal],"Not rated")</f>
        <v>Not rated</v>
      </c>
      <c r="C145" s="403" t="e">
        <f t="array" ref="C145">IF(DATEVALUE([1]!tbl_survey[Date of inspection])&gt;DATEVALUE(B141),_xlfn.XLOOKUP(tbl_cleaning[[#This Row],[Scheme/Estate]],[1]!tbl_survey[Scheme Name],[1]!tbl_survey[Internal],"Not rated"),"Not rated")</f>
        <v>#VALUE!</v>
      </c>
      <c r="D145" s="432" t="s">
        <v>1369</v>
      </c>
      <c r="E145" s="449" t="s">
        <v>58</v>
      </c>
      <c r="F145" s="6"/>
      <c r="G145" s="6"/>
    </row>
    <row r="146" spans="1:7" ht="15" customHeight="1" x14ac:dyDescent="0.25">
      <c r="A146" s="462" t="s">
        <v>1429</v>
      </c>
      <c r="B146" s="403" t="str">
        <f>_xlfn.XLOOKUP(tbl_cleaning[[#This Row],[Scheme/Estate]],[1]!tbl_survey[Scheme Name],[1]!tbl_survey[Internal],"Not rated")</f>
        <v>Not rated</v>
      </c>
      <c r="C146" s="403" t="e">
        <f t="array" ref="C146">IF(DATEVALUE([1]!tbl_survey[Date of inspection])&gt;DATEVALUE(B142),_xlfn.XLOOKUP(tbl_cleaning[[#This Row],[Scheme/Estate]],[1]!tbl_survey[Scheme Name],[1]!tbl_survey[Internal],"Not rated"),"Not rated")</f>
        <v>#VALUE!</v>
      </c>
      <c r="D146" s="432" t="s">
        <v>1432</v>
      </c>
      <c r="E146" s="154" t="s">
        <v>60</v>
      </c>
      <c r="F146" s="6"/>
      <c r="G146" s="6"/>
    </row>
    <row r="147" spans="1:7" ht="15" customHeight="1" x14ac:dyDescent="0.25">
      <c r="A147" s="462" t="s">
        <v>291</v>
      </c>
      <c r="B147" s="403" t="str">
        <f>_xlfn.XLOOKUP(tbl_cleaning[[#This Row],[Scheme/Estate]],[1]!tbl_survey[Scheme Name],[1]!tbl_survey[Internal],"Not rated")</f>
        <v>Not rated</v>
      </c>
      <c r="C147" s="403" t="e">
        <f t="array" ref="C147">IF(DATEVALUE([1]!tbl_survey[Date of inspection])&gt;DATEVALUE(B143),_xlfn.XLOOKUP(tbl_cleaning[[#This Row],[Scheme/Estate]],[1]!tbl_survey[Scheme Name],[1]!tbl_survey[Internal],"Not rated"),"Not rated")</f>
        <v>#VALUE!</v>
      </c>
      <c r="D147" s="432" t="s">
        <v>1368</v>
      </c>
      <c r="E147" s="450" t="s">
        <v>60</v>
      </c>
      <c r="F147" s="6"/>
      <c r="G147" s="6"/>
    </row>
    <row r="148" spans="1:7" ht="15" customHeight="1" x14ac:dyDescent="0.25">
      <c r="A148" s="462" t="s">
        <v>292</v>
      </c>
      <c r="B148" s="403" t="str">
        <f>_xlfn.XLOOKUP(tbl_cleaning[[#This Row],[Scheme/Estate]],[1]!tbl_survey[Scheme Name],[1]!tbl_survey[Internal],"Not rated")</f>
        <v>Not rated</v>
      </c>
      <c r="C148" s="403" t="e">
        <f t="array" ref="C148">IF(DATEVALUE([1]!tbl_survey[Date of inspection])&gt;DATEVALUE(B144),_xlfn.XLOOKUP(tbl_cleaning[[#This Row],[Scheme/Estate]],[1]!tbl_survey[Scheme Name],[1]!tbl_survey[Internal],"Not rated"),"Not rated")</f>
        <v>#VALUE!</v>
      </c>
      <c r="D148" s="432" t="s">
        <v>1378</v>
      </c>
      <c r="E148" s="452" t="s">
        <v>87</v>
      </c>
      <c r="F148" s="6"/>
      <c r="G148" s="6"/>
    </row>
    <row r="149" spans="1:7" ht="15" customHeight="1" x14ac:dyDescent="0.25">
      <c r="A149" s="465" t="s">
        <v>293</v>
      </c>
      <c r="B149" s="403" t="str">
        <f>_xlfn.XLOOKUP(tbl_cleaning[[#This Row],[Scheme/Estate]],[1]!tbl_survey[Scheme Name],[1]!tbl_survey[Internal],"Not rated")</f>
        <v>Not rated</v>
      </c>
      <c r="C149" s="403" t="e">
        <f t="array" ref="C149">IF(DATEVALUE([1]!tbl_survey[Date of inspection])&gt;DATEVALUE(B145),_xlfn.XLOOKUP(tbl_cleaning[[#This Row],[Scheme/Estate]],[1]!tbl_survey[Scheme Name],[1]!tbl_survey[Internal],"Not rated"),"Not rated")</f>
        <v>#VALUE!</v>
      </c>
      <c r="D149" s="432" t="s">
        <v>1378</v>
      </c>
      <c r="E149" s="443" t="s">
        <v>87</v>
      </c>
      <c r="F149" s="6"/>
      <c r="G149" s="6"/>
    </row>
    <row r="150" spans="1:7" ht="15" customHeight="1" x14ac:dyDescent="0.25">
      <c r="A150" s="463" t="s">
        <v>294</v>
      </c>
      <c r="B150" s="403" t="str">
        <f>_xlfn.XLOOKUP(tbl_cleaning[[#This Row],[Scheme/Estate]],[1]!tbl_survey[Scheme Name],[1]!tbl_survey[Internal],"Not rated")</f>
        <v>Not rated</v>
      </c>
      <c r="C150" s="403" t="e">
        <f t="array" ref="C150">IF(DATEVALUE([1]!tbl_survey[Date of inspection])&gt;DATEVALUE(B146),_xlfn.XLOOKUP(tbl_cleaning[[#This Row],[Scheme/Estate]],[1]!tbl_survey[Scheme Name],[1]!tbl_survey[Internal],"Not rated"),"Not rated")</f>
        <v>#VALUE!</v>
      </c>
      <c r="D150" s="432" t="s">
        <v>1368</v>
      </c>
      <c r="E150" s="154" t="s">
        <v>60</v>
      </c>
      <c r="F150" s="6"/>
      <c r="G150" s="6"/>
    </row>
    <row r="151" spans="1:7" ht="15" customHeight="1" x14ac:dyDescent="0.25">
      <c r="A151" s="463" t="s">
        <v>297</v>
      </c>
      <c r="B151" s="403" t="str">
        <f>_xlfn.XLOOKUP(tbl_cleaning[[#This Row],[Scheme/Estate]],[1]!tbl_survey[Scheme Name],[1]!tbl_survey[Internal],"Not rated")</f>
        <v>Not rated</v>
      </c>
      <c r="C151" s="403" t="e">
        <f t="array" ref="C151">IF(DATEVALUE([1]!tbl_survey[Date of inspection])&gt;DATEVALUE(B147),_xlfn.XLOOKUP(tbl_cleaning[[#This Row],[Scheme/Estate]],[1]!tbl_survey[Scheme Name],[1]!tbl_survey[Internal],"Not rated"),"Not rated")</f>
        <v>#VALUE!</v>
      </c>
      <c r="D151" s="432" t="s">
        <v>1365</v>
      </c>
      <c r="E151" s="154" t="s">
        <v>87</v>
      </c>
      <c r="F151" s="6"/>
      <c r="G151" s="6"/>
    </row>
    <row r="152" spans="1:7" ht="15" customHeight="1" x14ac:dyDescent="0.25">
      <c r="A152" s="463" t="s">
        <v>299</v>
      </c>
      <c r="B152" s="403">
        <f>_xlfn.XLOOKUP(tbl_cleaning[[#This Row],[Scheme/Estate]],[1]!tbl_survey[Scheme Name],[1]!tbl_survey[Internal],"Not rated")</f>
        <v>3</v>
      </c>
      <c r="C152" s="403" t="e">
        <f t="array" ref="C152">IF(DATEVALUE([1]!tbl_survey[Date of inspection])&gt;DATEVALUE(B148),_xlfn.XLOOKUP(tbl_cleaning[[#This Row],[Scheme/Estate]],[1]!tbl_survey[Scheme Name],[1]!tbl_survey[Internal],"Not rated"),"Not rated")</f>
        <v>#VALUE!</v>
      </c>
      <c r="D152" s="432" t="s">
        <v>1386</v>
      </c>
      <c r="E152" s="154" t="s">
        <v>93</v>
      </c>
      <c r="F152" s="6"/>
      <c r="G152" s="6"/>
    </row>
    <row r="153" spans="1:7" ht="23.45" customHeight="1" x14ac:dyDescent="0.25">
      <c r="A153" s="462" t="s">
        <v>301</v>
      </c>
      <c r="B153" s="403">
        <f>_xlfn.XLOOKUP(tbl_cleaning[[#This Row],[Scheme/Estate]],[1]!tbl_survey[Scheme Name],[1]!tbl_survey[Internal],"Not rated")</f>
        <v>3</v>
      </c>
      <c r="C153" s="403" t="e">
        <f t="array" ref="C153">IF(DATEVALUE([1]!tbl_survey[Date of inspection])&gt;DATEVALUE(B149),_xlfn.XLOOKUP(tbl_cleaning[[#This Row],[Scheme/Estate]],[1]!tbl_survey[Scheme Name],[1]!tbl_survey[Internal],"Not rated"),"Not rated")</f>
        <v>#VALUE!</v>
      </c>
      <c r="D153" s="432" t="s">
        <v>1364</v>
      </c>
      <c r="E153" s="450" t="s">
        <v>60</v>
      </c>
      <c r="F153" s="6"/>
      <c r="G153" s="6"/>
    </row>
    <row r="154" spans="1:7" ht="15" customHeight="1" x14ac:dyDescent="0.25">
      <c r="A154" s="462" t="s">
        <v>302</v>
      </c>
      <c r="B154" s="403" t="str">
        <f>_xlfn.XLOOKUP(tbl_cleaning[[#This Row],[Scheme/Estate]],[1]!tbl_survey[Scheme Name],[1]!tbl_survey[Internal],"Not rated")</f>
        <v>Not rated</v>
      </c>
      <c r="C154" s="403" t="e">
        <f t="array" ref="C154">IF(DATEVALUE([1]!tbl_survey[Date of inspection])&gt;DATEVALUE(B150),_xlfn.XLOOKUP(tbl_cleaning[[#This Row],[Scheme/Estate]],[1]!tbl_survey[Scheme Name],[1]!tbl_survey[Internal],"Not rated"),"Not rated")</f>
        <v>#VALUE!</v>
      </c>
      <c r="D154" s="432" t="s">
        <v>1380</v>
      </c>
      <c r="E154" s="446" t="s">
        <v>60</v>
      </c>
      <c r="F154" s="6"/>
      <c r="G154" s="6"/>
    </row>
    <row r="155" spans="1:7" ht="15" customHeight="1" x14ac:dyDescent="0.25">
      <c r="A155" s="462" t="s">
        <v>303</v>
      </c>
      <c r="B155" s="403" t="str">
        <f>_xlfn.XLOOKUP(tbl_cleaning[[#This Row],[Scheme/Estate]],[1]!tbl_survey[Scheme Name],[1]!tbl_survey[Internal],"Not rated")</f>
        <v>Not rated</v>
      </c>
      <c r="C155" s="403" t="e">
        <f t="array" ref="C155">IF(DATEVALUE([1]!tbl_survey[Date of inspection])&gt;DATEVALUE(B151),_xlfn.XLOOKUP(tbl_cleaning[[#This Row],[Scheme/Estate]],[1]!tbl_survey[Scheme Name],[1]!tbl_survey[Internal],"Not rated"),"Not rated")</f>
        <v>#VALUE!</v>
      </c>
      <c r="D155" s="432" t="s">
        <v>1368</v>
      </c>
      <c r="E155" s="154" t="s">
        <v>60</v>
      </c>
      <c r="F155" s="6"/>
      <c r="G155" s="6"/>
    </row>
    <row r="156" spans="1:7" ht="15" customHeight="1" x14ac:dyDescent="0.25">
      <c r="A156" s="462" t="s">
        <v>304</v>
      </c>
      <c r="B156" s="403" t="str">
        <f>_xlfn.XLOOKUP(tbl_cleaning[[#This Row],[Scheme/Estate]],[1]!tbl_survey[Scheme Name],[1]!tbl_survey[Internal],"Not rated")</f>
        <v>Not rated</v>
      </c>
      <c r="C156" s="403" t="e">
        <f t="array" ref="C156">IF(DATEVALUE([1]!tbl_survey[Date of inspection])&gt;DATEVALUE(B152),_xlfn.XLOOKUP(tbl_cleaning[[#This Row],[Scheme/Estate]],[1]!tbl_survey[Scheme Name],[1]!tbl_survey[Internal],"Not rated"),"Not rated")</f>
        <v>#VALUE!</v>
      </c>
      <c r="D156" s="432" t="s">
        <v>1368</v>
      </c>
      <c r="E156" s="449" t="s">
        <v>60</v>
      </c>
      <c r="F156" s="6"/>
      <c r="G156" s="6"/>
    </row>
    <row r="157" spans="1:7" s="21" customFormat="1" ht="15" customHeight="1" x14ac:dyDescent="0.25">
      <c r="A157" s="462" t="s">
        <v>305</v>
      </c>
      <c r="B157" s="403" t="str">
        <f>_xlfn.XLOOKUP(tbl_cleaning[[#This Row],[Scheme/Estate]],[1]!tbl_survey[Scheme Name],[1]!tbl_survey[Internal],"Not rated")</f>
        <v>Not rated</v>
      </c>
      <c r="C157" s="403" t="e">
        <f t="array" ref="C157">IF(DATEVALUE([1]!tbl_survey[Date of inspection])&gt;DATEVALUE(B153),_xlfn.XLOOKUP(tbl_cleaning[[#This Row],[Scheme/Estate]],[1]!tbl_survey[Scheme Name],[1]!tbl_survey[Internal],"Not rated"),"Not rated")</f>
        <v>#VALUE!</v>
      </c>
      <c r="D157" s="432" t="s">
        <v>1368</v>
      </c>
      <c r="E157" s="154" t="s">
        <v>60</v>
      </c>
      <c r="F157" s="42"/>
      <c r="G157" s="42"/>
    </row>
    <row r="158" spans="1:7" ht="15" customHeight="1" x14ac:dyDescent="0.25">
      <c r="A158" s="462" t="s">
        <v>308</v>
      </c>
      <c r="B158" s="403" t="str">
        <f>_xlfn.XLOOKUP(tbl_cleaning[[#This Row],[Scheme/Estate]],[1]!tbl_survey[Scheme Name],[1]!tbl_survey[Internal],"Not rated")</f>
        <v>Not rated</v>
      </c>
      <c r="C158" s="403" t="e">
        <f t="array" ref="C158">IF(DATEVALUE([1]!tbl_survey[Date of inspection])&gt;DATEVALUE(B154),_xlfn.XLOOKUP(tbl_cleaning[[#This Row],[Scheme/Estate]],[1]!tbl_survey[Scheme Name],[1]!tbl_survey[Internal],"Not rated"),"Not rated")</f>
        <v>#VALUE!</v>
      </c>
      <c r="D158" s="432" t="s">
        <v>1365</v>
      </c>
      <c r="E158" s="443" t="s">
        <v>87</v>
      </c>
      <c r="F158" s="6"/>
      <c r="G158" s="6"/>
    </row>
    <row r="159" spans="1:7" ht="15" customHeight="1" x14ac:dyDescent="0.25">
      <c r="A159" s="477" t="s">
        <v>1401</v>
      </c>
      <c r="B159" s="403" t="str">
        <f>_xlfn.XLOOKUP(tbl_cleaning[[#This Row],[Scheme/Estate]],[1]!tbl_survey[Scheme Name],[1]!tbl_survey[Internal],"Not rated")</f>
        <v>Not rated</v>
      </c>
      <c r="C159" s="403" t="e">
        <f t="array" ref="C159">IF(DATEVALUE([1]!tbl_survey[Date of inspection])&gt;DATEVALUE(B155),_xlfn.XLOOKUP(tbl_cleaning[[#This Row],[Scheme/Estate]],[1]!tbl_survey[Scheme Name],[1]!tbl_survey[Internal],"Not rated"),"Not rated")</f>
        <v>#VALUE!</v>
      </c>
      <c r="D159" s="432" t="s">
        <v>1371</v>
      </c>
      <c r="E159" s="449" t="s">
        <v>1407</v>
      </c>
      <c r="F159" s="6"/>
      <c r="G159" s="6"/>
    </row>
    <row r="160" spans="1:7" ht="15" customHeight="1" x14ac:dyDescent="0.25">
      <c r="A160" s="462" t="s">
        <v>1308</v>
      </c>
      <c r="B160" s="403" t="str">
        <f>_xlfn.XLOOKUP(tbl_cleaning[[#This Row],[Scheme/Estate]],[1]!tbl_survey[Scheme Name],[1]!tbl_survey[Internal],"Not rated")</f>
        <v>Not rated</v>
      </c>
      <c r="C160" s="403" t="e">
        <f t="array" ref="C160">IF(DATEVALUE([1]!tbl_survey[Date of inspection])&gt;DATEVALUE(B156),_xlfn.XLOOKUP(tbl_cleaning[[#This Row],[Scheme/Estate]],[1]!tbl_survey[Scheme Name],[1]!tbl_survey[Internal],"Not rated"),"Not rated")</f>
        <v>#VALUE!</v>
      </c>
      <c r="D160" s="432" t="s">
        <v>1366</v>
      </c>
      <c r="E160" s="154" t="s">
        <v>87</v>
      </c>
      <c r="F160" s="6"/>
      <c r="G160" s="6"/>
    </row>
    <row r="161" spans="1:7" ht="15" customHeight="1" x14ac:dyDescent="0.25">
      <c r="A161" s="478" t="s">
        <v>310</v>
      </c>
      <c r="B161" s="403" t="str">
        <f>_xlfn.XLOOKUP(tbl_cleaning[[#This Row],[Scheme/Estate]],[1]!tbl_survey[Scheme Name],[1]!tbl_survey[Internal],"Not rated")</f>
        <v>Not rated</v>
      </c>
      <c r="C161" s="403" t="e">
        <f t="array" ref="C161">IF(DATEVALUE([1]!tbl_survey[Date of inspection])&gt;DATEVALUE(B157),_xlfn.XLOOKUP(tbl_cleaning[[#This Row],[Scheme/Estate]],[1]!tbl_survey[Scheme Name],[1]!tbl_survey[Internal],"Not rated"),"Not rated")</f>
        <v>#VALUE!</v>
      </c>
      <c r="D161" s="432" t="s">
        <v>1375</v>
      </c>
      <c r="E161" s="450" t="s">
        <v>60</v>
      </c>
      <c r="F161" s="6"/>
      <c r="G161" s="6"/>
    </row>
    <row r="162" spans="1:7" ht="15" customHeight="1" x14ac:dyDescent="0.25">
      <c r="A162" s="462" t="s">
        <v>311</v>
      </c>
      <c r="B162" s="403" t="str">
        <f>_xlfn.XLOOKUP(tbl_cleaning[[#This Row],[Scheme/Estate]],[1]!tbl_survey[Scheme Name],[1]!tbl_survey[Internal],"Not rated")</f>
        <v>Not rated</v>
      </c>
      <c r="C162" s="403" t="e">
        <f t="array" ref="C162">IF(DATEVALUE([1]!tbl_survey[Date of inspection])&gt;DATEVALUE(B158),_xlfn.XLOOKUP(tbl_cleaning[[#This Row],[Scheme/Estate]],[1]!tbl_survey[Scheme Name],[1]!tbl_survey[Internal],"Not rated"),"Not rated")</f>
        <v>#VALUE!</v>
      </c>
      <c r="D162" s="432" t="s">
        <v>1375</v>
      </c>
      <c r="E162" s="447" t="s">
        <v>60</v>
      </c>
      <c r="F162" s="6"/>
      <c r="G162" s="6"/>
    </row>
    <row r="163" spans="1:7" ht="15" customHeight="1" x14ac:dyDescent="0.25">
      <c r="A163" s="463" t="s">
        <v>312</v>
      </c>
      <c r="B163" s="403" t="str">
        <f>_xlfn.XLOOKUP(tbl_cleaning[[#This Row],[Scheme/Estate]],[1]!tbl_survey[Scheme Name],[1]!tbl_survey[Internal],"Not rated")</f>
        <v>Not rated</v>
      </c>
      <c r="C163" s="403" t="e">
        <f t="array" ref="C163">IF(DATEVALUE([1]!tbl_survey[Date of inspection])&gt;DATEVALUE(B159),_xlfn.XLOOKUP(tbl_cleaning[[#This Row],[Scheme/Estate]],[1]!tbl_survey[Scheme Name],[1]!tbl_survey[Internal],"Not rated"),"Not rated")</f>
        <v>#VALUE!</v>
      </c>
      <c r="D163" s="432" t="s">
        <v>1371</v>
      </c>
      <c r="E163" s="447" t="s">
        <v>58</v>
      </c>
      <c r="F163" s="6"/>
      <c r="G163" s="6"/>
    </row>
    <row r="164" spans="1:7" ht="15" customHeight="1" x14ac:dyDescent="0.25">
      <c r="A164" s="479" t="s">
        <v>313</v>
      </c>
      <c r="B164" s="403" t="str">
        <f>_xlfn.XLOOKUP(tbl_cleaning[[#This Row],[Scheme/Estate]],[1]!tbl_survey[Scheme Name],[1]!tbl_survey[Internal],"Not rated")</f>
        <v>Not rated</v>
      </c>
      <c r="C164" s="403" t="e">
        <f t="array" ref="C164">IF(DATEVALUE([1]!tbl_survey[Date of inspection])&gt;DATEVALUE(B160),_xlfn.XLOOKUP(tbl_cleaning[[#This Row],[Scheme/Estate]],[1]!tbl_survey[Scheme Name],[1]!tbl_survey[Internal],"Not rated"),"Not rated")</f>
        <v>#VALUE!</v>
      </c>
      <c r="D164" s="432" t="s">
        <v>1368</v>
      </c>
      <c r="E164" s="447" t="s">
        <v>60</v>
      </c>
      <c r="F164" s="6"/>
      <c r="G164" s="6"/>
    </row>
    <row r="165" spans="1:7" ht="15" customHeight="1" x14ac:dyDescent="0.25">
      <c r="A165" s="463" t="s">
        <v>315</v>
      </c>
      <c r="B165" s="403" t="str">
        <f>_xlfn.XLOOKUP(tbl_cleaning[[#This Row],[Scheme/Estate]],[1]!tbl_survey[Scheme Name],[1]!tbl_survey[Internal],"Not rated")</f>
        <v>Not rated</v>
      </c>
      <c r="C165" s="403" t="e">
        <f t="array" ref="C165">IF(DATEVALUE([1]!tbl_survey[Date of inspection])&gt;DATEVALUE(B161),_xlfn.XLOOKUP(tbl_cleaning[[#This Row],[Scheme/Estate]],[1]!tbl_survey[Scheme Name],[1]!tbl_survey[Internal],"Not rated"),"Not rated")</f>
        <v>#VALUE!</v>
      </c>
      <c r="D165" s="432" t="s">
        <v>1371</v>
      </c>
      <c r="E165" s="447" t="s">
        <v>58</v>
      </c>
      <c r="F165" s="6"/>
      <c r="G165" s="6"/>
    </row>
    <row r="166" spans="1:7" ht="15" customHeight="1" x14ac:dyDescent="0.25">
      <c r="A166" s="467" t="s">
        <v>316</v>
      </c>
      <c r="B166" s="403" t="str">
        <f>_xlfn.XLOOKUP(tbl_cleaning[[#This Row],[Scheme/Estate]],[1]!tbl_survey[Scheme Name],[1]!tbl_survey[Internal],"Not rated")</f>
        <v>Not rated</v>
      </c>
      <c r="C166" s="403" t="e">
        <f t="array" ref="C166">IF(DATEVALUE([1]!tbl_survey[Date of inspection])&gt;DATEVALUE(B162),_xlfn.XLOOKUP(tbl_cleaning[[#This Row],[Scheme/Estate]],[1]!tbl_survey[Scheme Name],[1]!tbl_survey[Internal],"Not rated"),"Not rated")</f>
        <v>#VALUE!</v>
      </c>
      <c r="D166" s="432" t="s">
        <v>1378</v>
      </c>
      <c r="E166" s="448" t="s">
        <v>87</v>
      </c>
      <c r="F166" s="6"/>
      <c r="G166" s="6"/>
    </row>
    <row r="167" spans="1:7" ht="15" customHeight="1" x14ac:dyDescent="0.25">
      <c r="A167" s="392" t="s">
        <v>319</v>
      </c>
      <c r="B167" s="403" t="str">
        <f>_xlfn.XLOOKUP(tbl_cleaning[[#This Row],[Scheme/Estate]],[1]!tbl_survey[Scheme Name],[1]!tbl_survey[Internal],"Not rated")</f>
        <v>Not rated</v>
      </c>
      <c r="C167" s="403" t="e">
        <f t="array" ref="C167">IF(DATEVALUE([1]!tbl_survey[Date of inspection])&gt;DATEVALUE(B163),_xlfn.XLOOKUP(tbl_cleaning[[#This Row],[Scheme/Estate]],[1]!tbl_survey[Scheme Name],[1]!tbl_survey[Internal],"Not rated"),"Not rated")</f>
        <v>#VALUE!</v>
      </c>
      <c r="D167" s="432" t="s">
        <v>1376</v>
      </c>
      <c r="E167" s="447" t="s">
        <v>60</v>
      </c>
      <c r="F167" s="6"/>
      <c r="G167" s="6"/>
    </row>
    <row r="168" spans="1:7" ht="15" customHeight="1" x14ac:dyDescent="0.25">
      <c r="A168" s="462" t="s">
        <v>320</v>
      </c>
      <c r="B168" s="403" t="str">
        <f>_xlfn.XLOOKUP(tbl_cleaning[[#This Row],[Scheme/Estate]],[1]!tbl_survey[Scheme Name],[1]!tbl_survey[Internal],"Not rated")</f>
        <v>Not rated</v>
      </c>
      <c r="C168" s="403" t="e">
        <f t="array" ref="C168">IF(DATEVALUE([1]!tbl_survey[Date of inspection])&gt;DATEVALUE(B164),_xlfn.XLOOKUP(tbl_cleaning[[#This Row],[Scheme/Estate]],[1]!tbl_survey[Scheme Name],[1]!tbl_survey[Internal],"Not rated"),"Not rated")</f>
        <v>#VALUE!</v>
      </c>
      <c r="D168" s="432" t="s">
        <v>1366</v>
      </c>
      <c r="E168" s="452" t="s">
        <v>87</v>
      </c>
      <c r="F168" s="6"/>
      <c r="G168" s="6"/>
    </row>
    <row r="169" spans="1:7" s="21" customFormat="1" ht="15" customHeight="1" x14ac:dyDescent="0.25">
      <c r="A169" s="462" t="s">
        <v>324</v>
      </c>
      <c r="B169" s="403" t="str">
        <f>_xlfn.XLOOKUP(tbl_cleaning[[#This Row],[Scheme/Estate]],[1]!tbl_survey[Scheme Name],[1]!tbl_survey[Internal],"Not rated")</f>
        <v>Not rated</v>
      </c>
      <c r="C169" s="403" t="e">
        <f t="array" ref="C169">IF(DATEVALUE([1]!tbl_survey[Date of inspection])&gt;DATEVALUE(B165),_xlfn.XLOOKUP(tbl_cleaning[[#This Row],[Scheme/Estate]],[1]!tbl_survey[Scheme Name],[1]!tbl_survey[Internal],"Not rated"),"Not rated")</f>
        <v>#VALUE!</v>
      </c>
      <c r="D169" s="432" t="s">
        <v>1372</v>
      </c>
      <c r="E169" s="154" t="s">
        <v>60</v>
      </c>
      <c r="F169" s="42"/>
      <c r="G169" s="42"/>
    </row>
    <row r="170" spans="1:7" s="21" customFormat="1" ht="15" customHeight="1" x14ac:dyDescent="0.25">
      <c r="A170" s="462" t="s">
        <v>325</v>
      </c>
      <c r="B170" s="403" t="str">
        <f>_xlfn.XLOOKUP(tbl_cleaning[[#This Row],[Scheme/Estate]],[1]!tbl_survey[Scheme Name],[1]!tbl_survey[Internal],"Not rated")</f>
        <v>Not rated</v>
      </c>
      <c r="C170" s="403" t="e">
        <f t="array" ref="C170">IF(DATEVALUE([1]!tbl_survey[Date of inspection])&gt;DATEVALUE(B166),_xlfn.XLOOKUP(tbl_cleaning[[#This Row],[Scheme/Estate]],[1]!tbl_survey[Scheme Name],[1]!tbl_survey[Internal],"Not rated"),"Not rated")</f>
        <v>#VALUE!</v>
      </c>
      <c r="D170" s="432" t="s">
        <v>1378</v>
      </c>
      <c r="E170" s="443" t="s">
        <v>87</v>
      </c>
      <c r="F170" s="42"/>
      <c r="G170" s="42"/>
    </row>
    <row r="171" spans="1:7" ht="15" customHeight="1" x14ac:dyDescent="0.25">
      <c r="A171" s="467" t="s">
        <v>327</v>
      </c>
      <c r="B171" s="403" t="str">
        <f>_xlfn.XLOOKUP(tbl_cleaning[[#This Row],[Scheme/Estate]],[1]!tbl_survey[Scheme Name],[1]!tbl_survey[Internal],"Not rated")</f>
        <v>Not rated</v>
      </c>
      <c r="C171" s="403" t="e">
        <f t="array" ref="C171">IF(DATEVALUE([1]!tbl_survey[Date of inspection])&gt;DATEVALUE(B167),_xlfn.XLOOKUP(tbl_cleaning[[#This Row],[Scheme/Estate]],[1]!tbl_survey[Scheme Name],[1]!tbl_survey[Internal],"Not rated"),"Not rated")</f>
        <v>#VALUE!</v>
      </c>
      <c r="D171" s="432" t="s">
        <v>1368</v>
      </c>
      <c r="E171" s="154" t="s">
        <v>60</v>
      </c>
      <c r="F171" s="6"/>
      <c r="G171" s="6"/>
    </row>
    <row r="172" spans="1:7" ht="15" customHeight="1" x14ac:dyDescent="0.25">
      <c r="A172" s="463" t="s">
        <v>328</v>
      </c>
      <c r="B172" s="403" t="str">
        <f>_xlfn.XLOOKUP(tbl_cleaning[[#This Row],[Scheme/Estate]],[1]!tbl_survey[Scheme Name],[1]!tbl_survey[Internal],"Not rated")</f>
        <v>Not rated</v>
      </c>
      <c r="C172" s="403" t="e">
        <f t="array" ref="C172">IF(DATEVALUE([1]!tbl_survey[Date of inspection])&gt;DATEVALUE(B168),_xlfn.XLOOKUP(tbl_cleaning[[#This Row],[Scheme/Estate]],[1]!tbl_survey[Scheme Name],[1]!tbl_survey[Internal],"Not rated"),"Not rated")</f>
        <v>#VALUE!</v>
      </c>
      <c r="D172" s="432" t="s">
        <v>1367</v>
      </c>
      <c r="E172" s="450" t="s">
        <v>93</v>
      </c>
      <c r="F172" s="6"/>
      <c r="G172" s="6"/>
    </row>
    <row r="173" spans="1:7" ht="15" customHeight="1" x14ac:dyDescent="0.25">
      <c r="A173" s="463" t="s">
        <v>329</v>
      </c>
      <c r="B173" s="403" t="str">
        <f>_xlfn.XLOOKUP(tbl_cleaning[[#This Row],[Scheme/Estate]],[1]!tbl_survey[Scheme Name],[1]!tbl_survey[Internal],"Not rated")</f>
        <v>Not rated</v>
      </c>
      <c r="C173" s="403" t="e">
        <f t="array" ref="C173">IF(DATEVALUE([1]!tbl_survey[Date of inspection])&gt;DATEVALUE(B169),_xlfn.XLOOKUP(tbl_cleaning[[#This Row],[Scheme/Estate]],[1]!tbl_survey[Scheme Name],[1]!tbl_survey[Internal],"Not rated"),"Not rated")</f>
        <v>#VALUE!</v>
      </c>
      <c r="D173" s="432" t="s">
        <v>1383</v>
      </c>
      <c r="E173" s="446" t="s">
        <v>87</v>
      </c>
      <c r="F173" s="6"/>
      <c r="G173" s="6"/>
    </row>
    <row r="174" spans="1:7" s="399" customFormat="1" ht="15" customHeight="1" x14ac:dyDescent="0.25">
      <c r="A174" s="462" t="s">
        <v>330</v>
      </c>
      <c r="B174" s="403" t="str">
        <f>_xlfn.XLOOKUP(tbl_cleaning[[#This Row],[Scheme/Estate]],[1]!tbl_survey[Scheme Name],[1]!tbl_survey[Internal],"Not rated")</f>
        <v>Not rated</v>
      </c>
      <c r="C174" s="403" t="e">
        <f t="array" ref="C174">IF(DATEVALUE([1]!tbl_survey[Date of inspection])&gt;DATEVALUE(B170),_xlfn.XLOOKUP(tbl_cleaning[[#This Row],[Scheme/Estate]],[1]!tbl_survey[Scheme Name],[1]!tbl_survey[Internal],"Not rated"),"Not rated")</f>
        <v>#VALUE!</v>
      </c>
      <c r="D174" s="432" t="s">
        <v>1372</v>
      </c>
      <c r="E174" s="154" t="s">
        <v>60</v>
      </c>
      <c r="F174" s="398"/>
      <c r="G174" s="398"/>
    </row>
    <row r="175" spans="1:7" ht="15" customHeight="1" x14ac:dyDescent="0.25">
      <c r="A175" s="462" t="s">
        <v>331</v>
      </c>
      <c r="B175" s="403">
        <f>_xlfn.XLOOKUP(tbl_cleaning[[#This Row],[Scheme/Estate]],[1]!tbl_survey[Scheme Name],[1]!tbl_survey[Internal],"Not rated")</f>
        <v>3</v>
      </c>
      <c r="C175" s="403" t="e">
        <f t="array" ref="C175">IF(DATEVALUE([1]!tbl_survey[Date of inspection])&gt;DATEVALUE(B171),_xlfn.XLOOKUP(tbl_cleaning[[#This Row],[Scheme/Estate]],[1]!tbl_survey[Scheme Name],[1]!tbl_survey[Internal],"Not rated"),"Not rated")</f>
        <v>#VALUE!</v>
      </c>
      <c r="D175" s="432" t="s">
        <v>1372</v>
      </c>
      <c r="E175" s="450" t="s">
        <v>60</v>
      </c>
      <c r="F175" s="6"/>
      <c r="G175" s="6"/>
    </row>
    <row r="176" spans="1:7" ht="15" customHeight="1" x14ac:dyDescent="0.25">
      <c r="A176" s="463" t="s">
        <v>332</v>
      </c>
      <c r="B176" s="403" t="str">
        <f>_xlfn.XLOOKUP(tbl_cleaning[[#This Row],[Scheme/Estate]],[1]!tbl_survey[Scheme Name],[1]!tbl_survey[Internal],"Not rated")</f>
        <v>Not rated</v>
      </c>
      <c r="C176" s="403" t="e">
        <f t="array" ref="C176">IF(DATEVALUE([1]!tbl_survey[Date of inspection])&gt;DATEVALUE(B172),_xlfn.XLOOKUP(tbl_cleaning[[#This Row],[Scheme/Estate]],[1]!tbl_survey[Scheme Name],[1]!tbl_survey[Internal],"Not rated"),"Not rated")</f>
        <v>#VALUE!</v>
      </c>
      <c r="D176" s="432" t="s">
        <v>1382</v>
      </c>
      <c r="E176" s="447" t="s">
        <v>93</v>
      </c>
      <c r="F176" s="6"/>
      <c r="G176" s="6"/>
    </row>
    <row r="177" spans="1:7" ht="15" customHeight="1" x14ac:dyDescent="0.25">
      <c r="A177" s="463" t="s">
        <v>333</v>
      </c>
      <c r="B177" s="403" t="str">
        <f>_xlfn.XLOOKUP(tbl_cleaning[[#This Row],[Scheme/Estate]],[1]!tbl_survey[Scheme Name],[1]!tbl_survey[Internal],"Not rated")</f>
        <v>Not rated</v>
      </c>
      <c r="C177" s="403" t="e">
        <f t="array" ref="C177">IF(DATEVALUE([1]!tbl_survey[Date of inspection])&gt;DATEVALUE(B173),_xlfn.XLOOKUP(tbl_cleaning[[#This Row],[Scheme/Estate]],[1]!tbl_survey[Scheme Name],[1]!tbl_survey[Internal],"Not rated"),"Not rated")</f>
        <v>#VALUE!</v>
      </c>
      <c r="D177" s="432" t="s">
        <v>1388</v>
      </c>
      <c r="E177" s="446" t="s">
        <v>93</v>
      </c>
      <c r="F177" s="6"/>
      <c r="G177" s="6"/>
    </row>
    <row r="178" spans="1:7" ht="15" customHeight="1" x14ac:dyDescent="0.25">
      <c r="A178" s="462" t="s">
        <v>334</v>
      </c>
      <c r="B178" s="403" t="str">
        <f>_xlfn.XLOOKUP(tbl_cleaning[[#This Row],[Scheme/Estate]],[1]!tbl_survey[Scheme Name],[1]!tbl_survey[Internal],"Not rated")</f>
        <v>Not rated</v>
      </c>
      <c r="C178" s="403" t="e">
        <f t="array" ref="C178">IF(DATEVALUE([1]!tbl_survey[Date of inspection])&gt;DATEVALUE(B174),_xlfn.XLOOKUP(tbl_cleaning[[#This Row],[Scheme/Estate]],[1]!tbl_survey[Scheme Name],[1]!tbl_survey[Internal],"Not rated"),"Not rated")</f>
        <v>#VALUE!</v>
      </c>
      <c r="D178" s="432" t="s">
        <v>1365</v>
      </c>
      <c r="E178" s="443" t="s">
        <v>87</v>
      </c>
      <c r="F178" s="6"/>
      <c r="G178" s="6"/>
    </row>
    <row r="179" spans="1:7" ht="15" customHeight="1" x14ac:dyDescent="0.25">
      <c r="A179" s="462" t="s">
        <v>335</v>
      </c>
      <c r="B179" s="403">
        <f>_xlfn.XLOOKUP(tbl_cleaning[[#This Row],[Scheme/Estate]],[1]!tbl_survey[Scheme Name],[1]!tbl_survey[Internal],"Not rated")</f>
        <v>3</v>
      </c>
      <c r="C179" s="403" t="e">
        <f t="array" ref="C179">IF(DATEVALUE([1]!tbl_survey[Date of inspection])&gt;DATEVALUE(B175),_xlfn.XLOOKUP(tbl_cleaning[[#This Row],[Scheme/Estate]],[1]!tbl_survey[Scheme Name],[1]!tbl_survey[Internal],"Not rated"),"Not rated")</f>
        <v>#VALUE!</v>
      </c>
      <c r="D179" s="432" t="s">
        <v>1368</v>
      </c>
      <c r="E179" s="154" t="s">
        <v>60</v>
      </c>
      <c r="F179" s="6"/>
      <c r="G179" s="6"/>
    </row>
    <row r="180" spans="1:7" ht="15" customHeight="1" x14ac:dyDescent="0.25">
      <c r="A180" s="463" t="s">
        <v>336</v>
      </c>
      <c r="B180" s="403" t="str">
        <f>_xlfn.XLOOKUP(tbl_cleaning[[#This Row],[Scheme/Estate]],[1]!tbl_survey[Scheme Name],[1]!tbl_survey[Internal],"Not rated")</f>
        <v>Not rated</v>
      </c>
      <c r="C180" s="403" t="e">
        <f t="array" ref="C180">IF(DATEVALUE([1]!tbl_survey[Date of inspection])&gt;DATEVALUE(B176),_xlfn.XLOOKUP(tbl_cleaning[[#This Row],[Scheme/Estate]],[1]!tbl_survey[Scheme Name],[1]!tbl_survey[Internal],"Not rated"),"Not rated")</f>
        <v>#VALUE!</v>
      </c>
      <c r="D180" s="432" t="s">
        <v>1379</v>
      </c>
      <c r="E180" s="154" t="s">
        <v>58</v>
      </c>
      <c r="F180" s="6"/>
      <c r="G180" s="6"/>
    </row>
    <row r="181" spans="1:7" ht="15" customHeight="1" x14ac:dyDescent="0.25">
      <c r="A181" s="480" t="s">
        <v>1434</v>
      </c>
      <c r="B181" s="403">
        <f>_xlfn.XLOOKUP(tbl_cleaning[[#This Row],[Scheme/Estate]],[1]!tbl_survey[Scheme Name],[1]!tbl_survey[Internal],"Not rated")</f>
        <v>3</v>
      </c>
      <c r="C181" s="403" t="e">
        <f t="array" ref="C181">IF(DATEVALUE([1]!tbl_survey[Date of inspection])&gt;DATEVALUE(B177),_xlfn.XLOOKUP(tbl_cleaning[[#This Row],[Scheme/Estate]],[1]!tbl_survey[Scheme Name],[1]!tbl_survey[Internal],"Not rated"),"Not rated")</f>
        <v>#VALUE!</v>
      </c>
      <c r="D181" s="432" t="s">
        <v>1386</v>
      </c>
      <c r="E181" s="154" t="s">
        <v>93</v>
      </c>
      <c r="F181" s="6"/>
      <c r="G181" s="6"/>
    </row>
    <row r="182" spans="1:7" ht="15" customHeight="1" x14ac:dyDescent="0.25">
      <c r="A182" s="463" t="s">
        <v>337</v>
      </c>
      <c r="B182" s="403" t="str">
        <f>_xlfn.XLOOKUP(tbl_cleaning[[#This Row],[Scheme/Estate]],[1]!tbl_survey[Scheme Name],[1]!tbl_survey[Internal],"Not rated")</f>
        <v>Not rated</v>
      </c>
      <c r="C182" s="403" t="e">
        <f t="array" ref="C182">IF(DATEVALUE([1]!tbl_survey[Date of inspection])&gt;DATEVALUE(B178),_xlfn.XLOOKUP(tbl_cleaning[[#This Row],[Scheme/Estate]],[1]!tbl_survey[Scheme Name],[1]!tbl_survey[Internal],"Not rated"),"Not rated")</f>
        <v>#VALUE!</v>
      </c>
      <c r="D182" s="432" t="s">
        <v>1388</v>
      </c>
      <c r="E182" s="154" t="s">
        <v>93</v>
      </c>
      <c r="F182" s="6"/>
      <c r="G182" s="6"/>
    </row>
    <row r="183" spans="1:7" s="21" customFormat="1" ht="15" customHeight="1" x14ac:dyDescent="0.25">
      <c r="A183" s="462" t="s">
        <v>339</v>
      </c>
      <c r="B183" s="403" t="str">
        <f>_xlfn.XLOOKUP(tbl_cleaning[[#This Row],[Scheme/Estate]],[1]!tbl_survey[Scheme Name],[1]!tbl_survey[Internal],"Not rated")</f>
        <v>Not rated</v>
      </c>
      <c r="C183" s="403" t="e">
        <f t="array" ref="C183">IF(DATEVALUE([1]!tbl_survey[Date of inspection])&gt;DATEVALUE(B179),_xlfn.XLOOKUP(tbl_cleaning[[#This Row],[Scheme/Estate]],[1]!tbl_survey[Scheme Name],[1]!tbl_survey[Internal],"Not rated"),"Not rated")</f>
        <v>#VALUE!</v>
      </c>
      <c r="D183" s="432" t="s">
        <v>1378</v>
      </c>
      <c r="E183" s="453" t="s">
        <v>87</v>
      </c>
      <c r="F183" s="42"/>
      <c r="G183" s="42"/>
    </row>
    <row r="184" spans="1:7" ht="15" customHeight="1" x14ac:dyDescent="0.25">
      <c r="A184" s="462" t="s">
        <v>340</v>
      </c>
      <c r="B184" s="403" t="str">
        <f>_xlfn.XLOOKUP(tbl_cleaning[[#This Row],[Scheme/Estate]],[1]!tbl_survey[Scheme Name],[1]!tbl_survey[Internal],"Not rated")</f>
        <v>Not rated</v>
      </c>
      <c r="C184" s="403" t="e">
        <f t="array" ref="C184">IF(DATEVALUE([1]!tbl_survey[Date of inspection])&gt;DATEVALUE(B180),_xlfn.XLOOKUP(tbl_cleaning[[#This Row],[Scheme/Estate]],[1]!tbl_survey[Scheme Name],[1]!tbl_survey[Internal],"Not rated"),"Not rated")</f>
        <v>#VALUE!</v>
      </c>
      <c r="D184" s="432" t="s">
        <v>1383</v>
      </c>
      <c r="E184" s="452" t="s">
        <v>87</v>
      </c>
      <c r="F184" s="6"/>
      <c r="G184" s="6"/>
    </row>
    <row r="185" spans="1:7" ht="15" customHeight="1" x14ac:dyDescent="0.25">
      <c r="A185" s="462" t="s">
        <v>1331</v>
      </c>
      <c r="B185" s="403" t="str">
        <f>_xlfn.XLOOKUP(tbl_cleaning[[#This Row],[Scheme/Estate]],[1]!tbl_survey[Scheme Name],[1]!tbl_survey[Internal],"Not rated")</f>
        <v>Not rated</v>
      </c>
      <c r="C185" s="403" t="e">
        <f t="array" ref="C185">IF(DATEVALUE([1]!tbl_survey[Date of inspection])&gt;DATEVALUE(B181),_xlfn.XLOOKUP(tbl_cleaning[[#This Row],[Scheme/Estate]],[1]!tbl_survey[Scheme Name],[1]!tbl_survey[Internal],"Not rated"),"Not rated")</f>
        <v>#VALUE!</v>
      </c>
      <c r="D185" s="432" t="s">
        <v>1366</v>
      </c>
      <c r="E185" s="443" t="s">
        <v>87</v>
      </c>
      <c r="F185" s="6"/>
      <c r="G185" s="6"/>
    </row>
    <row r="186" spans="1:7" ht="15" customHeight="1" x14ac:dyDescent="0.25">
      <c r="A186" s="462" t="s">
        <v>342</v>
      </c>
      <c r="B186" s="403" t="str">
        <f>_xlfn.XLOOKUP(tbl_cleaning[[#This Row],[Scheme/Estate]],[1]!tbl_survey[Scheme Name],[1]!tbl_survey[Internal],"Not rated")</f>
        <v>Not rated</v>
      </c>
      <c r="C186" s="403" t="e">
        <f t="array" ref="C186">IF(DATEVALUE([1]!tbl_survey[Date of inspection])&gt;DATEVALUE(B182),_xlfn.XLOOKUP(tbl_cleaning[[#This Row],[Scheme/Estate]],[1]!tbl_survey[Scheme Name],[1]!tbl_survey[Internal],"Not rated"),"Not rated")</f>
        <v>#VALUE!</v>
      </c>
      <c r="D186" s="432" t="s">
        <v>1383</v>
      </c>
      <c r="E186" s="451" t="s">
        <v>87</v>
      </c>
      <c r="F186" s="6"/>
      <c r="G186" s="6"/>
    </row>
    <row r="187" spans="1:7" ht="15" customHeight="1" x14ac:dyDescent="0.25">
      <c r="A187" s="462" t="s">
        <v>343</v>
      </c>
      <c r="B187" s="403" t="str">
        <f>_xlfn.XLOOKUP(tbl_cleaning[[#This Row],[Scheme/Estate]],[1]!tbl_survey[Scheme Name],[1]!tbl_survey[Internal],"Not rated")</f>
        <v>Not rated</v>
      </c>
      <c r="C187" s="403" t="e">
        <f t="array" ref="C187">IF(DATEVALUE([1]!tbl_survey[Date of inspection])&gt;DATEVALUE(B183),_xlfn.XLOOKUP(tbl_cleaning[[#This Row],[Scheme/Estate]],[1]!tbl_survey[Scheme Name],[1]!tbl_survey[Internal],"Not rated"),"Not rated")</f>
        <v>#VALUE!</v>
      </c>
      <c r="D187" s="432" t="s">
        <v>1378</v>
      </c>
      <c r="E187" s="443" t="s">
        <v>87</v>
      </c>
      <c r="F187" s="6"/>
      <c r="G187" s="6"/>
    </row>
    <row r="188" spans="1:7" ht="15" customHeight="1" x14ac:dyDescent="0.25">
      <c r="A188" s="462" t="s">
        <v>344</v>
      </c>
      <c r="B188" s="403" t="str">
        <f>_xlfn.XLOOKUP(tbl_cleaning[[#This Row],[Scheme/Estate]],[1]!tbl_survey[Scheme Name],[1]!tbl_survey[Internal],"Not rated")</f>
        <v>Not rated</v>
      </c>
      <c r="C188" s="403" t="e">
        <f t="array" ref="C188">IF(DATEVALUE([1]!tbl_survey[Date of inspection])&gt;DATEVALUE(B184),_xlfn.XLOOKUP(tbl_cleaning[[#This Row],[Scheme/Estate]],[1]!tbl_survey[Scheme Name],[1]!tbl_survey[Internal],"Not rated"),"Not rated")</f>
        <v>#VALUE!</v>
      </c>
      <c r="D188" s="432" t="s">
        <v>1365</v>
      </c>
      <c r="E188" s="443" t="s">
        <v>87</v>
      </c>
      <c r="F188" s="6"/>
      <c r="G188" s="6"/>
    </row>
    <row r="189" spans="1:7" ht="15" customHeight="1" x14ac:dyDescent="0.25">
      <c r="A189" s="462" t="s">
        <v>345</v>
      </c>
      <c r="B189" s="403" t="str">
        <f>_xlfn.XLOOKUP(tbl_cleaning[[#This Row],[Scheme/Estate]],[1]!tbl_survey[Scheme Name],[1]!tbl_survey[Internal],"Not rated")</f>
        <v>Not rated</v>
      </c>
      <c r="C189" s="403" t="e">
        <f t="array" ref="C189">IF(DATEVALUE([1]!tbl_survey[Date of inspection])&gt;DATEVALUE(B185),_xlfn.XLOOKUP(tbl_cleaning[[#This Row],[Scheme/Estate]],[1]!tbl_survey[Scheme Name],[1]!tbl_survey[Internal],"Not rated"),"Not rated")</f>
        <v>#VALUE!</v>
      </c>
      <c r="D189" s="432" t="s">
        <v>1372</v>
      </c>
      <c r="E189" s="154" t="s">
        <v>60</v>
      </c>
      <c r="F189" s="6"/>
      <c r="G189" s="6"/>
    </row>
    <row r="190" spans="1:7" ht="15" customHeight="1" x14ac:dyDescent="0.25">
      <c r="A190" s="463" t="s">
        <v>346</v>
      </c>
      <c r="B190" s="403" t="str">
        <f>_xlfn.XLOOKUP(tbl_cleaning[[#This Row],[Scheme/Estate]],[1]!tbl_survey[Scheme Name],[1]!tbl_survey[Internal],"Not rated")</f>
        <v>Not rated</v>
      </c>
      <c r="C190" s="403" t="e">
        <f t="array" ref="C190">IF(DATEVALUE([1]!tbl_survey[Date of inspection])&gt;DATEVALUE(B186),_xlfn.XLOOKUP(tbl_cleaning[[#This Row],[Scheme/Estate]],[1]!tbl_survey[Scheme Name],[1]!tbl_survey[Internal],"Not rated"),"Not rated")</f>
        <v>#VALUE!</v>
      </c>
      <c r="D190" s="432" t="s">
        <v>1379</v>
      </c>
      <c r="E190" s="449" t="s">
        <v>58</v>
      </c>
      <c r="F190" s="6"/>
      <c r="G190" s="6"/>
    </row>
    <row r="191" spans="1:7" ht="18" customHeight="1" x14ac:dyDescent="0.25">
      <c r="A191" s="467" t="s">
        <v>1309</v>
      </c>
      <c r="B191" s="403" t="str">
        <f>_xlfn.XLOOKUP(tbl_cleaning[[#This Row],[Scheme/Estate]],[1]!tbl_survey[Scheme Name],[1]!tbl_survey[Internal],"Not rated")</f>
        <v>Not rated</v>
      </c>
      <c r="C191" s="403" t="e">
        <f t="array" ref="C191">IF(DATEVALUE([1]!tbl_survey[Date of inspection])&gt;DATEVALUE(B187),_xlfn.XLOOKUP(tbl_cleaning[[#This Row],[Scheme/Estate]],[1]!tbl_survey[Scheme Name],[1]!tbl_survey[Internal],"Not rated"),"Not rated")</f>
        <v>#VALUE!</v>
      </c>
      <c r="D191" s="432" t="s">
        <v>1366</v>
      </c>
      <c r="E191" s="154" t="s">
        <v>87</v>
      </c>
      <c r="F191" s="6"/>
      <c r="G191" s="6"/>
    </row>
    <row r="192" spans="1:7" ht="17.25" customHeight="1" x14ac:dyDescent="0.25">
      <c r="A192" s="462" t="s">
        <v>1332</v>
      </c>
      <c r="B192" s="403" t="str">
        <f>_xlfn.XLOOKUP(tbl_cleaning[[#This Row],[Scheme/Estate]],[1]!tbl_survey[Scheme Name],[1]!tbl_survey[Internal],"Not rated")</f>
        <v>Not rated</v>
      </c>
      <c r="C192" s="403" t="e">
        <f t="array" ref="C192">IF(DATEVALUE([1]!tbl_survey[Date of inspection])&gt;DATEVALUE(B188),_xlfn.XLOOKUP(tbl_cleaning[[#This Row],[Scheme/Estate]],[1]!tbl_survey[Scheme Name],[1]!tbl_survey[Internal],"Not rated"),"Not rated")</f>
        <v>#VALUE!</v>
      </c>
      <c r="D192" s="432" t="s">
        <v>1383</v>
      </c>
      <c r="E192" s="443" t="s">
        <v>87</v>
      </c>
      <c r="F192" s="6"/>
      <c r="G192" s="6"/>
    </row>
    <row r="193" spans="1:7" ht="17.25" customHeight="1" x14ac:dyDescent="0.25">
      <c r="A193" s="462" t="s">
        <v>1437</v>
      </c>
      <c r="B193" s="403" t="str">
        <f>_xlfn.XLOOKUP(tbl_cleaning[[#This Row],[Scheme/Estate]],[1]!tbl_survey[Scheme Name],[1]!tbl_survey[Internal],"Not rated")</f>
        <v>Not rated</v>
      </c>
      <c r="C193" s="403" t="e">
        <f t="array" ref="C193">IF(DATEVALUE([1]!tbl_survey[Date of inspection])&gt;DATEVALUE(B189),_xlfn.XLOOKUP(tbl_cleaning[[#This Row],[Scheme/Estate]],[1]!tbl_survey[Scheme Name],[1]!tbl_survey[Internal],"Not rated"),"Not rated")</f>
        <v>#VALUE!</v>
      </c>
      <c r="D193" s="432" t="s">
        <v>1432</v>
      </c>
      <c r="E193" s="154" t="s">
        <v>58</v>
      </c>
      <c r="F193" s="6"/>
      <c r="G193" s="6"/>
    </row>
    <row r="194" spans="1:7" ht="16.5" customHeight="1" x14ac:dyDescent="0.25">
      <c r="A194" s="481" t="s">
        <v>351</v>
      </c>
      <c r="B194" s="403" t="str">
        <f>_xlfn.XLOOKUP(tbl_cleaning[[#This Row],[Scheme/Estate]],[1]!tbl_survey[Scheme Name],[1]!tbl_survey[Internal],"Not rated")</f>
        <v>Not rated</v>
      </c>
      <c r="C194" s="403" t="e">
        <f t="array" ref="C194">IF(DATEVALUE([1]!tbl_survey[Date of inspection])&gt;DATEVALUE(B190),_xlfn.XLOOKUP(tbl_cleaning[[#This Row],[Scheme/Estate]],[1]!tbl_survey[Scheme Name],[1]!tbl_survey[Internal],"Not rated"),"Not rated")</f>
        <v>#VALUE!</v>
      </c>
      <c r="D194" s="432" t="s">
        <v>1387</v>
      </c>
      <c r="E194" s="450" t="s">
        <v>93</v>
      </c>
      <c r="F194" s="6"/>
      <c r="G194" s="6"/>
    </row>
    <row r="195" spans="1:7" ht="17.25" customHeight="1" x14ac:dyDescent="0.25">
      <c r="A195" s="462" t="s">
        <v>352</v>
      </c>
      <c r="B195" s="403" t="str">
        <f>_xlfn.XLOOKUP(tbl_cleaning[[#This Row],[Scheme/Estate]],[1]!tbl_survey[Scheme Name],[1]!tbl_survey[Internal],"Not rated")</f>
        <v>Not rated</v>
      </c>
      <c r="C195" s="403" t="e">
        <f t="array" ref="C195">IF(DATEVALUE([1]!tbl_survey[Date of inspection])&gt;DATEVALUE(B191),_xlfn.XLOOKUP(tbl_cleaning[[#This Row],[Scheme/Estate]],[1]!tbl_survey[Scheme Name],[1]!tbl_survey[Internal],"Not rated"),"Not rated")</f>
        <v>#VALUE!</v>
      </c>
      <c r="D195" s="432" t="s">
        <v>1369</v>
      </c>
      <c r="E195" s="447" t="s">
        <v>58</v>
      </c>
      <c r="F195" s="6"/>
      <c r="G195" s="6"/>
    </row>
    <row r="196" spans="1:7" ht="15.75" customHeight="1" x14ac:dyDescent="0.25">
      <c r="A196" s="462" t="s">
        <v>353</v>
      </c>
      <c r="B196" s="403" t="str">
        <f>_xlfn.XLOOKUP(tbl_cleaning[[#This Row],[Scheme/Estate]],[1]!tbl_survey[Scheme Name],[1]!tbl_survey[Internal],"Not rated")</f>
        <v>Not rated</v>
      </c>
      <c r="C196" s="403" t="e">
        <f t="array" ref="C196">IF(DATEVALUE([1]!tbl_survey[Date of inspection])&gt;DATEVALUE(B192),_xlfn.XLOOKUP(tbl_cleaning[[#This Row],[Scheme/Estate]],[1]!tbl_survey[Scheme Name],[1]!tbl_survey[Internal],"Not rated"),"Not rated")</f>
        <v>#VALUE!</v>
      </c>
      <c r="D196" s="432" t="s">
        <v>1369</v>
      </c>
      <c r="E196" s="447" t="s">
        <v>58</v>
      </c>
      <c r="F196" s="6"/>
      <c r="G196" s="6"/>
    </row>
    <row r="197" spans="1:7" ht="15.75" customHeight="1" x14ac:dyDescent="0.25">
      <c r="A197" s="462" t="s">
        <v>356</v>
      </c>
      <c r="B197" s="403" t="str">
        <f>_xlfn.XLOOKUP(tbl_cleaning[[#This Row],[Scheme/Estate]],[1]!tbl_survey[Scheme Name],[1]!tbl_survey[Internal],"Not rated")</f>
        <v>Not rated</v>
      </c>
      <c r="C197" s="403" t="e">
        <f t="array" ref="C197">IF(DATEVALUE([1]!tbl_survey[Date of inspection])&gt;DATEVALUE(B193),_xlfn.XLOOKUP(tbl_cleaning[[#This Row],[Scheme/Estate]],[1]!tbl_survey[Scheme Name],[1]!tbl_survey[Internal],"Not rated"),"Not rated")</f>
        <v>#VALUE!</v>
      </c>
      <c r="D197" s="432" t="s">
        <v>1378</v>
      </c>
      <c r="E197" s="448" t="s">
        <v>87</v>
      </c>
      <c r="F197" s="6"/>
      <c r="G197" s="6"/>
    </row>
    <row r="198" spans="1:7" ht="16.5" customHeight="1" x14ac:dyDescent="0.25">
      <c r="A198" s="462" t="s">
        <v>357</v>
      </c>
      <c r="B198" s="403" t="str">
        <f>_xlfn.XLOOKUP(tbl_cleaning[[#This Row],[Scheme/Estate]],[1]!tbl_survey[Scheme Name],[1]!tbl_survey[Internal],"Not rated")</f>
        <v>Not rated</v>
      </c>
      <c r="C198" s="403" t="e">
        <f t="array" ref="C198">IF(DATEVALUE([1]!tbl_survey[Date of inspection])&gt;DATEVALUE(B194),_xlfn.XLOOKUP(tbl_cleaning[[#This Row],[Scheme/Estate]],[1]!tbl_survey[Scheme Name],[1]!tbl_survey[Internal],"Not rated"),"Not rated")</f>
        <v>#VALUE!</v>
      </c>
      <c r="D198" s="432" t="s">
        <v>1378</v>
      </c>
      <c r="E198" s="448" t="s">
        <v>87</v>
      </c>
      <c r="F198" s="6"/>
      <c r="G198" s="6"/>
    </row>
    <row r="199" spans="1:7" ht="15.75" customHeight="1" x14ac:dyDescent="0.25">
      <c r="A199" s="462" t="s">
        <v>359</v>
      </c>
      <c r="B199" s="403" t="str">
        <f>_xlfn.XLOOKUP(tbl_cleaning[[#This Row],[Scheme/Estate]],[1]!tbl_survey[Scheme Name],[1]!tbl_survey[Internal],"Not rated")</f>
        <v>Not rated</v>
      </c>
      <c r="C199" s="403" t="e">
        <f t="array" ref="C199">IF(DATEVALUE([1]!tbl_survey[Date of inspection])&gt;DATEVALUE(B195),_xlfn.XLOOKUP(tbl_cleaning[[#This Row],[Scheme/Estate]],[1]!tbl_survey[Scheme Name],[1]!tbl_survey[Internal],"Not rated"),"Not rated")</f>
        <v>#VALUE!</v>
      </c>
      <c r="D199" s="432" t="s">
        <v>1373</v>
      </c>
      <c r="E199" s="447" t="s">
        <v>58</v>
      </c>
      <c r="F199" s="6"/>
      <c r="G199" s="6"/>
    </row>
    <row r="200" spans="1:7" ht="17.25" customHeight="1" x14ac:dyDescent="0.25">
      <c r="A200" s="481" t="s">
        <v>360</v>
      </c>
      <c r="B200" s="403" t="str">
        <f>_xlfn.XLOOKUP(tbl_cleaning[[#This Row],[Scheme/Estate]],[1]!tbl_survey[Scheme Name],[1]!tbl_survey[Internal],"Not rated")</f>
        <v>Not rated</v>
      </c>
      <c r="C200" s="403" t="e">
        <f t="array" ref="C200">IF(DATEVALUE([1]!tbl_survey[Date of inspection])&gt;DATEVALUE(B196),_xlfn.XLOOKUP(tbl_cleaning[[#This Row],[Scheme/Estate]],[1]!tbl_survey[Scheme Name],[1]!tbl_survey[Internal],"Not rated"),"Not rated")</f>
        <v>#VALUE!</v>
      </c>
      <c r="D200" s="432" t="s">
        <v>1372</v>
      </c>
      <c r="E200" s="446" t="s">
        <v>361</v>
      </c>
      <c r="F200" s="6"/>
      <c r="G200" s="6"/>
    </row>
    <row r="201" spans="1:7" ht="15.75" customHeight="1" x14ac:dyDescent="0.25">
      <c r="A201" s="481" t="s">
        <v>362</v>
      </c>
      <c r="B201" s="403" t="str">
        <f>_xlfn.XLOOKUP(tbl_cleaning[[#This Row],[Scheme/Estate]],[1]!tbl_survey[Scheme Name],[1]!tbl_survey[Internal],"Not rated")</f>
        <v>Not rated</v>
      </c>
      <c r="C201" s="403" t="e">
        <f t="array" ref="C201">IF(DATEVALUE([1]!tbl_survey[Date of inspection])&gt;DATEVALUE(B197),_xlfn.XLOOKUP(tbl_cleaning[[#This Row],[Scheme/Estate]],[1]!tbl_survey[Scheme Name],[1]!tbl_survey[Internal],"Not rated"),"Not rated")</f>
        <v>#VALUE!</v>
      </c>
      <c r="D201" s="432" t="s">
        <v>1379</v>
      </c>
      <c r="E201" s="154" t="s">
        <v>58</v>
      </c>
      <c r="F201" s="6"/>
      <c r="G201" s="6"/>
    </row>
    <row r="202" spans="1:7" ht="15.75" customHeight="1" x14ac:dyDescent="0.25">
      <c r="A202" s="462" t="s">
        <v>363</v>
      </c>
      <c r="B202" s="403" t="str">
        <f>_xlfn.XLOOKUP(tbl_cleaning[[#This Row],[Scheme/Estate]],[1]!tbl_survey[Scheme Name],[1]!tbl_survey[Internal],"Not rated")</f>
        <v>Not rated</v>
      </c>
      <c r="C202" s="403" t="e">
        <f t="array" ref="C202">IF(DATEVALUE([1]!tbl_survey[Date of inspection])&gt;DATEVALUE(B198),_xlfn.XLOOKUP(tbl_cleaning[[#This Row],[Scheme/Estate]],[1]!tbl_survey[Scheme Name],[1]!tbl_survey[Internal],"Not rated"),"Not rated")</f>
        <v>#VALUE!</v>
      </c>
      <c r="D202" s="432" t="s">
        <v>1365</v>
      </c>
      <c r="E202" s="451" t="s">
        <v>87</v>
      </c>
      <c r="F202" s="6"/>
      <c r="G202" s="6"/>
    </row>
    <row r="203" spans="1:7" ht="16.5" customHeight="1" x14ac:dyDescent="0.25">
      <c r="A203" s="481" t="s">
        <v>364</v>
      </c>
      <c r="B203" s="403" t="str">
        <f>_xlfn.XLOOKUP(tbl_cleaning[[#This Row],[Scheme/Estate]],[1]!tbl_survey[Scheme Name],[1]!tbl_survey[Internal],"Not rated")</f>
        <v>Not rated</v>
      </c>
      <c r="C203" s="403" t="e">
        <f t="array" ref="C203">IF(DATEVALUE([1]!tbl_survey[Date of inspection])&gt;DATEVALUE(B199),_xlfn.XLOOKUP(tbl_cleaning[[#This Row],[Scheme/Estate]],[1]!tbl_survey[Scheme Name],[1]!tbl_survey[Internal],"Not rated"),"Not rated")</f>
        <v>#VALUE!</v>
      </c>
      <c r="D203" s="432" t="s">
        <v>1379</v>
      </c>
      <c r="E203" s="154" t="s">
        <v>58</v>
      </c>
      <c r="F203" s="6"/>
      <c r="G203" s="6"/>
    </row>
    <row r="204" spans="1:7" ht="18.75" customHeight="1" x14ac:dyDescent="0.25">
      <c r="A204" s="463" t="s">
        <v>366</v>
      </c>
      <c r="B204" s="403" t="str">
        <f>_xlfn.XLOOKUP(tbl_cleaning[[#This Row],[Scheme/Estate]],[1]!tbl_survey[Scheme Name],[1]!tbl_survey[Internal],"Not rated")</f>
        <v>Not rated</v>
      </c>
      <c r="C204" s="403" t="e">
        <f t="array" ref="C204">IF(DATEVALUE([1]!tbl_survey[Date of inspection])&gt;DATEVALUE(B200),_xlfn.XLOOKUP(tbl_cleaning[[#This Row],[Scheme/Estate]],[1]!tbl_survey[Scheme Name],[1]!tbl_survey[Internal],"Not rated"),"Not rated")</f>
        <v>#VALUE!</v>
      </c>
      <c r="D204" s="432" t="s">
        <v>1367</v>
      </c>
      <c r="E204" s="449" t="s">
        <v>93</v>
      </c>
      <c r="F204" s="6"/>
      <c r="G204" s="6"/>
    </row>
    <row r="205" spans="1:7" ht="15.75" customHeight="1" x14ac:dyDescent="0.25">
      <c r="A205" s="471" t="s">
        <v>367</v>
      </c>
      <c r="B205" s="403" t="str">
        <f>_xlfn.XLOOKUP(tbl_cleaning[[#This Row],[Scheme/Estate]],[1]!tbl_survey[Scheme Name],[1]!tbl_survey[Internal],"Not rated")</f>
        <v>Not rated</v>
      </c>
      <c r="C205" s="403" t="e">
        <f t="array" ref="C205">IF(DATEVALUE([1]!tbl_survey[Date of inspection])&gt;DATEVALUE(B201),_xlfn.XLOOKUP(tbl_cleaning[[#This Row],[Scheme/Estate]],[1]!tbl_survey[Scheme Name],[1]!tbl_survey[Internal],"Not rated"),"Not rated")</f>
        <v>#VALUE!</v>
      </c>
      <c r="D205" s="432" t="s">
        <v>1378</v>
      </c>
      <c r="E205" s="443" t="s">
        <v>87</v>
      </c>
      <c r="F205" s="6"/>
      <c r="G205" s="6"/>
    </row>
    <row r="206" spans="1:7" ht="15.75" customHeight="1" x14ac:dyDescent="0.25">
      <c r="A206" s="462" t="s">
        <v>368</v>
      </c>
      <c r="B206" s="403" t="str">
        <f>_xlfn.XLOOKUP(tbl_cleaning[[#This Row],[Scheme/Estate]],[1]!tbl_survey[Scheme Name],[1]!tbl_survey[Internal],"Not rated")</f>
        <v>Not rated</v>
      </c>
      <c r="C206" s="403" t="e">
        <f t="array" ref="C206">IF(DATEVALUE([1]!tbl_survey[Date of inspection])&gt;DATEVALUE(B202),_xlfn.XLOOKUP(tbl_cleaning[[#This Row],[Scheme/Estate]],[1]!tbl_survey[Scheme Name],[1]!tbl_survey[Internal],"Not rated"),"Not rated")</f>
        <v>#VALUE!</v>
      </c>
      <c r="D206" s="432" t="s">
        <v>1375</v>
      </c>
      <c r="E206" s="154" t="s">
        <v>60</v>
      </c>
      <c r="F206" s="6"/>
      <c r="G206" s="6"/>
    </row>
    <row r="207" spans="1:7" ht="15" customHeight="1" x14ac:dyDescent="0.25">
      <c r="A207" s="462" t="s">
        <v>1410</v>
      </c>
      <c r="B207" s="403" t="str">
        <f>_xlfn.XLOOKUP(tbl_cleaning[[#This Row],[Scheme/Estate]],[1]!tbl_survey[Scheme Name],[1]!tbl_survey[Internal],"Not rated")</f>
        <v>Not rated</v>
      </c>
      <c r="C207" s="403" t="e">
        <f t="array" ref="C207">IF(DATEVALUE([1]!tbl_survey[Date of inspection])&gt;DATEVALUE(B203),_xlfn.XLOOKUP(tbl_cleaning[[#This Row],[Scheme/Estate]],[1]!tbl_survey[Scheme Name],[1]!tbl_survey[Internal],"Not rated"),"Not rated")</f>
        <v>#VALUE!</v>
      </c>
      <c r="D207" s="432" t="s">
        <v>1375</v>
      </c>
      <c r="E207" s="450" t="s">
        <v>60</v>
      </c>
      <c r="F207" s="6"/>
      <c r="G207" s="6"/>
    </row>
    <row r="208" spans="1:7" ht="16.5" customHeight="1" x14ac:dyDescent="0.25">
      <c r="A208" s="391" t="s">
        <v>1411</v>
      </c>
      <c r="B208" s="403" t="str">
        <f>_xlfn.XLOOKUP(tbl_cleaning[[#This Row],[Scheme/Estate]],[1]!tbl_survey[Scheme Name],[1]!tbl_survey[Internal],"Not rated")</f>
        <v>Not rated</v>
      </c>
      <c r="C208" s="403" t="e">
        <f t="array" ref="C208">IF(DATEVALUE([1]!tbl_survey[Date of inspection])&gt;DATEVALUE(B204),_xlfn.XLOOKUP(tbl_cleaning[[#This Row],[Scheme/Estate]],[1]!tbl_survey[Scheme Name],[1]!tbl_survey[Internal],"Not rated"),"Not rated")</f>
        <v>#VALUE!</v>
      </c>
      <c r="D208" s="432" t="s">
        <v>1371</v>
      </c>
      <c r="E208" s="446" t="s">
        <v>58</v>
      </c>
      <c r="F208" s="6"/>
      <c r="G208" s="6"/>
    </row>
    <row r="209" spans="1:7" ht="16.5" customHeight="1" x14ac:dyDescent="0.25">
      <c r="A209" s="467" t="s">
        <v>371</v>
      </c>
      <c r="B209" s="403" t="str">
        <f>_xlfn.XLOOKUP(tbl_cleaning[[#This Row],[Scheme/Estate]],[1]!tbl_survey[Scheme Name],[1]!tbl_survey[Internal],"Not rated")</f>
        <v>Not rated</v>
      </c>
      <c r="C209" s="403" t="e">
        <f t="array" ref="C209">IF(DATEVALUE([1]!tbl_survey[Date of inspection])&gt;DATEVALUE(B205),_xlfn.XLOOKUP(tbl_cleaning[[#This Row],[Scheme/Estate]],[1]!tbl_survey[Scheme Name],[1]!tbl_survey[Internal],"Not rated"),"Not rated")</f>
        <v>#VALUE!</v>
      </c>
      <c r="D209" s="436"/>
      <c r="E209" s="154" t="s">
        <v>60</v>
      </c>
      <c r="F209" s="6"/>
      <c r="G209" s="6"/>
    </row>
    <row r="210" spans="1:7" ht="17.25" customHeight="1" x14ac:dyDescent="0.25">
      <c r="A210" s="465" t="s">
        <v>372</v>
      </c>
      <c r="B210" s="403" t="str">
        <f>_xlfn.XLOOKUP(tbl_cleaning[[#This Row],[Scheme/Estate]],[1]!tbl_survey[Scheme Name],[1]!tbl_survey[Internal],"Not rated")</f>
        <v>Not rated</v>
      </c>
      <c r="C210" s="403" t="e">
        <f t="array" ref="C210">IF(DATEVALUE([1]!tbl_survey[Date of inspection])&gt;DATEVALUE(B206),_xlfn.XLOOKUP(tbl_cleaning[[#This Row],[Scheme/Estate]],[1]!tbl_survey[Scheme Name],[1]!tbl_survey[Internal],"Not rated"),"Not rated")</f>
        <v>#VALUE!</v>
      </c>
      <c r="D210" s="432" t="s">
        <v>1365</v>
      </c>
      <c r="E210" s="443" t="s">
        <v>87</v>
      </c>
      <c r="F210" s="6"/>
      <c r="G210" s="6"/>
    </row>
    <row r="211" spans="1:7" ht="16.5" customHeight="1" x14ac:dyDescent="0.25">
      <c r="A211" s="462" t="s">
        <v>373</v>
      </c>
      <c r="B211" s="403" t="str">
        <f>_xlfn.XLOOKUP(tbl_cleaning[[#This Row],[Scheme/Estate]],[1]!tbl_survey[Scheme Name],[1]!tbl_survey[Internal],"Not rated")</f>
        <v>Not rated</v>
      </c>
      <c r="C211" s="403" t="e">
        <f t="array" ref="C211">IF(DATEVALUE([1]!tbl_survey[Date of inspection])&gt;DATEVALUE(B207),_xlfn.XLOOKUP(tbl_cleaning[[#This Row],[Scheme/Estate]],[1]!tbl_survey[Scheme Name],[1]!tbl_survey[Internal],"Not rated"),"Not rated")</f>
        <v>#VALUE!</v>
      </c>
      <c r="D211" s="432" t="s">
        <v>1365</v>
      </c>
      <c r="E211" s="453" t="s">
        <v>87</v>
      </c>
      <c r="F211" s="6"/>
      <c r="G211" s="6"/>
    </row>
    <row r="212" spans="1:7" ht="18.75" customHeight="1" x14ac:dyDescent="0.25">
      <c r="A212" s="462" t="s">
        <v>374</v>
      </c>
      <c r="B212" s="403" t="str">
        <f>_xlfn.XLOOKUP(tbl_cleaning[[#This Row],[Scheme/Estate]],[1]!tbl_survey[Scheme Name],[1]!tbl_survey[Internal],"Not rated")</f>
        <v>Not rated</v>
      </c>
      <c r="C212" s="403" t="e">
        <f t="array" ref="C212">IF(DATEVALUE([1]!tbl_survey[Date of inspection])&gt;DATEVALUE(B208),_xlfn.XLOOKUP(tbl_cleaning[[#This Row],[Scheme/Estate]],[1]!tbl_survey[Scheme Name],[1]!tbl_survey[Internal],"Not rated"),"Not rated")</f>
        <v>#VALUE!</v>
      </c>
      <c r="D212" s="432" t="s">
        <v>1368</v>
      </c>
      <c r="E212" s="447" t="s">
        <v>60</v>
      </c>
      <c r="F212" s="6"/>
      <c r="G212" s="6"/>
    </row>
    <row r="213" spans="1:7" ht="20.25" customHeight="1" x14ac:dyDescent="0.25">
      <c r="A213" s="463" t="s">
        <v>375</v>
      </c>
      <c r="B213" s="403" t="str">
        <f>_xlfn.XLOOKUP(tbl_cleaning[[#This Row],[Scheme/Estate]],[1]!tbl_survey[Scheme Name],[1]!tbl_survey[Internal],"Not rated")</f>
        <v>Not rated</v>
      </c>
      <c r="C213" s="403" t="e">
        <f t="array" ref="C213">IF(DATEVALUE([1]!tbl_survey[Date of inspection])&gt;DATEVALUE(B209),_xlfn.XLOOKUP(tbl_cleaning[[#This Row],[Scheme/Estate]],[1]!tbl_survey[Scheme Name],[1]!tbl_survey[Internal],"Not rated"),"Not rated")</f>
        <v>#VALUE!</v>
      </c>
      <c r="D213" s="432" t="s">
        <v>1381</v>
      </c>
      <c r="E213" s="446" t="s">
        <v>60</v>
      </c>
      <c r="F213" s="6"/>
      <c r="G213" s="6"/>
    </row>
    <row r="214" spans="1:7" ht="21" customHeight="1" x14ac:dyDescent="0.25">
      <c r="A214" s="391" t="s">
        <v>376</v>
      </c>
      <c r="B214" s="403" t="str">
        <f>_xlfn.XLOOKUP(tbl_cleaning[[#This Row],[Scheme/Estate]],[1]!tbl_survey[Scheme Name],[1]!tbl_survey[Internal],"Not rated")</f>
        <v>Not rated</v>
      </c>
      <c r="C214" s="403" t="e">
        <f t="array" ref="C214">IF(DATEVALUE([1]!tbl_survey[Date of inspection])&gt;DATEVALUE(B210),_xlfn.XLOOKUP(tbl_cleaning[[#This Row],[Scheme/Estate]],[1]!tbl_survey[Scheme Name],[1]!tbl_survey[Internal],"Not rated"),"Not rated")</f>
        <v>#VALUE!</v>
      </c>
      <c r="D214" s="432" t="s">
        <v>1383</v>
      </c>
      <c r="E214" s="154" t="s">
        <v>87</v>
      </c>
      <c r="F214" s="6"/>
      <c r="G214" s="6"/>
    </row>
    <row r="215" spans="1:7" ht="21" customHeight="1" x14ac:dyDescent="0.25">
      <c r="A215" s="462" t="s">
        <v>377</v>
      </c>
      <c r="B215" s="403" t="str">
        <f>_xlfn.XLOOKUP(tbl_cleaning[[#This Row],[Scheme/Estate]],[1]!tbl_survey[Scheme Name],[1]!tbl_survey[Internal],"Not rated")</f>
        <v>Not rated</v>
      </c>
      <c r="C215" s="403" t="e">
        <f t="array" ref="C215">IF(DATEVALUE([1]!tbl_survey[Date of inspection])&gt;DATEVALUE(B211),_xlfn.XLOOKUP(tbl_cleaning[[#This Row],[Scheme/Estate]],[1]!tbl_survey[Scheme Name],[1]!tbl_survey[Internal],"Not rated"),"Not rated")</f>
        <v>#VALUE!</v>
      </c>
      <c r="D215" s="432" t="s">
        <v>1372</v>
      </c>
      <c r="E215" s="154" t="s">
        <v>60</v>
      </c>
      <c r="F215" s="6"/>
      <c r="G215" s="6"/>
    </row>
    <row r="216" spans="1:7" ht="14.25" customHeight="1" x14ac:dyDescent="0.25">
      <c r="A216" s="464" t="s">
        <v>379</v>
      </c>
      <c r="B216" s="403" t="str">
        <f>_xlfn.XLOOKUP(tbl_cleaning[[#This Row],[Scheme/Estate]],[1]!tbl_survey[Scheme Name],[1]!tbl_survey[Internal],"Not rated")</f>
        <v>Not rated</v>
      </c>
      <c r="C216" s="403" t="e">
        <f t="array" ref="C216">IF(DATEVALUE([1]!tbl_survey[Date of inspection])&gt;DATEVALUE(B212),_xlfn.XLOOKUP(tbl_cleaning[[#This Row],[Scheme/Estate]],[1]!tbl_survey[Scheme Name],[1]!tbl_survey[Internal],"Not rated"),"Not rated")</f>
        <v>#VALUE!</v>
      </c>
      <c r="D216" s="432" t="s">
        <v>1386</v>
      </c>
      <c r="E216" s="154" t="s">
        <v>93</v>
      </c>
    </row>
    <row r="217" spans="1:7" ht="19.5" customHeight="1" x14ac:dyDescent="0.25">
      <c r="A217" s="462" t="s">
        <v>380</v>
      </c>
      <c r="B217" s="403" t="str">
        <f>_xlfn.XLOOKUP(tbl_cleaning[[#This Row],[Scheme/Estate]],[1]!tbl_survey[Scheme Name],[1]!tbl_survey[Internal],"Not rated")</f>
        <v>Not rated</v>
      </c>
      <c r="C217" s="403" t="e">
        <f t="array" ref="C217">IF(DATEVALUE([1]!tbl_survey[Date of inspection])&gt;DATEVALUE(B213),_xlfn.XLOOKUP(tbl_cleaning[[#This Row],[Scheme/Estate]],[1]!tbl_survey[Scheme Name],[1]!tbl_survey[Internal],"Not rated"),"Not rated")</f>
        <v>#VALUE!</v>
      </c>
      <c r="D217" s="432" t="s">
        <v>1366</v>
      </c>
      <c r="E217" s="443" t="s">
        <v>87</v>
      </c>
      <c r="F217" s="6"/>
      <c r="G217" s="6"/>
    </row>
    <row r="218" spans="1:7" ht="20.25" customHeight="1" x14ac:dyDescent="0.25">
      <c r="A218" s="462" t="s">
        <v>381</v>
      </c>
      <c r="B218" s="403" t="str">
        <f>_xlfn.XLOOKUP(tbl_cleaning[[#This Row],[Scheme/Estate]],[1]!tbl_survey[Scheme Name],[1]!tbl_survey[Internal],"Not rated")</f>
        <v>Not rated</v>
      </c>
      <c r="C218" s="403" t="e">
        <f t="array" ref="C218">IF(DATEVALUE([1]!tbl_survey[Date of inspection])&gt;DATEVALUE(B214),_xlfn.XLOOKUP(tbl_cleaning[[#This Row],[Scheme/Estate]],[1]!tbl_survey[Scheme Name],[1]!tbl_survey[Internal],"Not rated"),"Not rated")</f>
        <v>#VALUE!</v>
      </c>
      <c r="D218" s="432" t="s">
        <v>1369</v>
      </c>
      <c r="E218" s="450" t="s">
        <v>58</v>
      </c>
      <c r="F218" s="6"/>
      <c r="G218" s="6"/>
    </row>
    <row r="219" spans="1:7" ht="18.75" customHeight="1" x14ac:dyDescent="0.25">
      <c r="A219" s="391" t="s">
        <v>382</v>
      </c>
      <c r="B219" s="403">
        <f>_xlfn.XLOOKUP(tbl_cleaning[[#This Row],[Scheme/Estate]],[1]!tbl_survey[Scheme Name],[1]!tbl_survey[Internal],"Not rated")</f>
        <v>4</v>
      </c>
      <c r="C219" s="403" t="e">
        <f t="array" ref="C219">IF(DATEVALUE([1]!tbl_survey[Date of inspection])&gt;DATEVALUE(B215),_xlfn.XLOOKUP(tbl_cleaning[[#This Row],[Scheme/Estate]],[1]!tbl_survey[Scheme Name],[1]!tbl_survey[Internal],"Not rated"),"Not rated")</f>
        <v>#VALUE!</v>
      </c>
      <c r="D219" s="432" t="s">
        <v>1363</v>
      </c>
      <c r="E219" s="446" t="s">
        <v>58</v>
      </c>
      <c r="F219" s="6"/>
      <c r="G219" s="6"/>
    </row>
    <row r="220" spans="1:7" ht="18.75" customHeight="1" x14ac:dyDescent="0.25">
      <c r="A220" s="465" t="s">
        <v>384</v>
      </c>
      <c r="B220" s="403" t="str">
        <f>_xlfn.XLOOKUP(tbl_cleaning[[#This Row],[Scheme/Estate]],[1]!tbl_survey[Scheme Name],[1]!tbl_survey[Internal],"Not rated")</f>
        <v>Not rated</v>
      </c>
      <c r="C220" s="403" t="e">
        <f t="array" ref="C220">IF(DATEVALUE([1]!tbl_survey[Date of inspection])&gt;DATEVALUE(B216),_xlfn.XLOOKUP(tbl_cleaning[[#This Row],[Scheme/Estate]],[1]!tbl_survey[Scheme Name],[1]!tbl_survey[Internal],"Not rated"),"Not rated")</f>
        <v>#VALUE!</v>
      </c>
      <c r="D220" s="432" t="s">
        <v>1382</v>
      </c>
      <c r="E220" s="154" t="s">
        <v>93</v>
      </c>
      <c r="F220" s="6"/>
      <c r="G220" s="6"/>
    </row>
    <row r="221" spans="1:7" ht="18.75" customHeight="1" x14ac:dyDescent="0.25">
      <c r="A221" s="391" t="s">
        <v>385</v>
      </c>
      <c r="B221" s="403" t="str">
        <f>_xlfn.XLOOKUP(tbl_cleaning[[#This Row],[Scheme/Estate]],[1]!tbl_survey[Scheme Name],[1]!tbl_survey[Internal],"Not rated")</f>
        <v>Not rated</v>
      </c>
      <c r="C221" s="403" t="e">
        <f t="array" ref="C221">IF(DATEVALUE([1]!tbl_survey[Date of inspection])&gt;DATEVALUE(B217),_xlfn.XLOOKUP(tbl_cleaning[[#This Row],[Scheme/Estate]],[1]!tbl_survey[Scheme Name],[1]!tbl_survey[Internal],"Not rated"),"Not rated")</f>
        <v>#VALUE!</v>
      </c>
      <c r="D221" s="432" t="s">
        <v>1368</v>
      </c>
      <c r="E221" s="449" t="s">
        <v>60</v>
      </c>
      <c r="F221" s="6"/>
      <c r="G221" s="6"/>
    </row>
    <row r="222" spans="1:7" ht="21.75" customHeight="1" x14ac:dyDescent="0.25">
      <c r="A222" s="462" t="s">
        <v>386</v>
      </c>
      <c r="B222" s="403" t="str">
        <f>_xlfn.XLOOKUP(tbl_cleaning[[#This Row],[Scheme/Estate]],[1]!tbl_survey[Scheme Name],[1]!tbl_survey[Internal],"Not rated")</f>
        <v>Not rated</v>
      </c>
      <c r="C222" s="403" t="e">
        <f t="array" ref="C222">IF(DATEVALUE([1]!tbl_survey[Date of inspection])&gt;DATEVALUE(B218),_xlfn.XLOOKUP(tbl_cleaning[[#This Row],[Scheme/Estate]],[1]!tbl_survey[Scheme Name],[1]!tbl_survey[Internal],"Not rated"),"Not rated")</f>
        <v>#VALUE!</v>
      </c>
      <c r="D222" s="432" t="s">
        <v>1380</v>
      </c>
      <c r="E222" s="154" t="s">
        <v>60</v>
      </c>
      <c r="F222" s="6"/>
      <c r="G222" s="6"/>
    </row>
    <row r="223" spans="1:7" ht="21" customHeight="1" x14ac:dyDescent="0.25">
      <c r="A223" s="462" t="s">
        <v>387</v>
      </c>
      <c r="B223" s="403" t="str">
        <f>_xlfn.XLOOKUP(tbl_cleaning[[#This Row],[Scheme/Estate]],[1]!tbl_survey[Scheme Name],[1]!tbl_survey[Internal],"Not rated")</f>
        <v>Not rated</v>
      </c>
      <c r="C223" s="403" t="e">
        <f t="array" ref="C223">IF(DATEVALUE([1]!tbl_survey[Date of inspection])&gt;DATEVALUE(B219),_xlfn.XLOOKUP(tbl_cleaning[[#This Row],[Scheme/Estate]],[1]!tbl_survey[Scheme Name],[1]!tbl_survey[Internal],"Not rated"),"Not rated")</f>
        <v>#VALUE!</v>
      </c>
      <c r="D223" s="432" t="s">
        <v>1383</v>
      </c>
      <c r="E223" s="451" t="s">
        <v>87</v>
      </c>
      <c r="F223" s="6"/>
      <c r="G223" s="6"/>
    </row>
    <row r="224" spans="1:7" ht="15.75" customHeight="1" x14ac:dyDescent="0.25">
      <c r="A224" s="391" t="s">
        <v>388</v>
      </c>
      <c r="B224" s="403" t="str">
        <f>_xlfn.XLOOKUP(tbl_cleaning[[#This Row],[Scheme/Estate]],[1]!tbl_survey[Scheme Name],[1]!tbl_survey[Internal],"Not rated")</f>
        <v>Not rated</v>
      </c>
      <c r="C224" s="403" t="e">
        <f t="array" ref="C224">IF(DATEVALUE([1]!tbl_survey[Date of inspection])&gt;DATEVALUE(B220),_xlfn.XLOOKUP(tbl_cleaning[[#This Row],[Scheme/Estate]],[1]!tbl_survey[Scheme Name],[1]!tbl_survey[Internal],"Not rated"),"Not rated")</f>
        <v>#VALUE!</v>
      </c>
      <c r="D224" s="432" t="s">
        <v>1363</v>
      </c>
      <c r="E224" s="154" t="s">
        <v>58</v>
      </c>
      <c r="F224" s="6"/>
      <c r="G224" s="6"/>
    </row>
    <row r="225" spans="1:7" ht="18" customHeight="1" x14ac:dyDescent="0.25">
      <c r="A225" s="462" t="s">
        <v>389</v>
      </c>
      <c r="B225" s="403" t="str">
        <f>_xlfn.XLOOKUP(tbl_cleaning[[#This Row],[Scheme/Estate]],[1]!tbl_survey[Scheme Name],[1]!tbl_survey[Internal],"Not rated")</f>
        <v>Not rated</v>
      </c>
      <c r="C225" s="403" t="e">
        <f t="array" ref="C225">IF(DATEVALUE([1]!tbl_survey[Date of inspection])&gt;DATEVALUE(B221),_xlfn.XLOOKUP(tbl_cleaning[[#This Row],[Scheme/Estate]],[1]!tbl_survey[Scheme Name],[1]!tbl_survey[Internal],"Not rated"),"Not rated")</f>
        <v>#VALUE!</v>
      </c>
      <c r="D225" s="432" t="s">
        <v>1380</v>
      </c>
      <c r="E225" s="154" t="s">
        <v>60</v>
      </c>
      <c r="F225" s="6"/>
      <c r="G225" s="6"/>
    </row>
    <row r="226" spans="1:7" ht="16.5" customHeight="1" x14ac:dyDescent="0.25">
      <c r="A226" s="462" t="s">
        <v>390</v>
      </c>
      <c r="B226" s="403" t="str">
        <f>_xlfn.XLOOKUP(tbl_cleaning[[#This Row],[Scheme/Estate]],[1]!tbl_survey[Scheme Name],[1]!tbl_survey[Internal],"Not rated")</f>
        <v>Not rated</v>
      </c>
      <c r="C226" s="403" t="e">
        <f t="array" ref="C226">IF(DATEVALUE([1]!tbl_survey[Date of inspection])&gt;DATEVALUE(B222),_xlfn.XLOOKUP(tbl_cleaning[[#This Row],[Scheme/Estate]],[1]!tbl_survey[Scheme Name],[1]!tbl_survey[Internal],"Not rated"),"Not rated")</f>
        <v>#VALUE!</v>
      </c>
      <c r="D226" s="432" t="s">
        <v>1378</v>
      </c>
      <c r="E226" s="451" t="s">
        <v>87</v>
      </c>
      <c r="F226" s="6"/>
      <c r="G226" s="6"/>
    </row>
    <row r="227" spans="1:7" ht="15" customHeight="1" x14ac:dyDescent="0.25">
      <c r="A227" s="465" t="s">
        <v>391</v>
      </c>
      <c r="B227" s="403" t="str">
        <f>_xlfn.XLOOKUP(tbl_cleaning[[#This Row],[Scheme/Estate]],[1]!tbl_survey[Scheme Name],[1]!tbl_survey[Internal],"Not rated")</f>
        <v>Not rated</v>
      </c>
      <c r="C227" s="403" t="e">
        <f t="array" ref="C227">IF(DATEVALUE([1]!tbl_survey[Date of inspection])&gt;DATEVALUE(B223),_xlfn.XLOOKUP(tbl_cleaning[[#This Row],[Scheme/Estate]],[1]!tbl_survey[Scheme Name],[1]!tbl_survey[Internal],"Not rated"),"Not rated")</f>
        <v>#VALUE!</v>
      </c>
      <c r="D227" s="432" t="s">
        <v>1365</v>
      </c>
      <c r="E227" s="443" t="s">
        <v>87</v>
      </c>
    </row>
    <row r="228" spans="1:7" ht="15" customHeight="1" x14ac:dyDescent="0.25">
      <c r="A228" s="478" t="s">
        <v>392</v>
      </c>
      <c r="B228" s="403" t="str">
        <f>_xlfn.XLOOKUP(tbl_cleaning[[#This Row],[Scheme/Estate]],[1]!tbl_survey[Scheme Name],[1]!tbl_survey[Internal],"Not rated")</f>
        <v>Not rated</v>
      </c>
      <c r="C228" s="403" t="e">
        <f t="array" ref="C228">IF(DATEVALUE([1]!tbl_survey[Date of inspection])&gt;DATEVALUE(B224),_xlfn.XLOOKUP(tbl_cleaning[[#This Row],[Scheme/Estate]],[1]!tbl_survey[Scheme Name],[1]!tbl_survey[Internal],"Not rated"),"Not rated")</f>
        <v>#VALUE!</v>
      </c>
      <c r="D228" s="432" t="s">
        <v>1376</v>
      </c>
      <c r="E228" s="154" t="s">
        <v>60</v>
      </c>
    </row>
    <row r="229" spans="1:7" ht="15" customHeight="1" x14ac:dyDescent="0.25">
      <c r="A229" s="463" t="s">
        <v>393</v>
      </c>
      <c r="B229" s="403" t="str">
        <f>_xlfn.XLOOKUP(tbl_cleaning[[#This Row],[Scheme/Estate]],[1]!tbl_survey[Scheme Name],[1]!tbl_survey[Internal],"Not rated")</f>
        <v>Not rated</v>
      </c>
      <c r="C229" s="403" t="e">
        <f t="array" ref="C229">IF(DATEVALUE([1]!tbl_survey[Date of inspection])&gt;DATEVALUE(B225),_xlfn.XLOOKUP(tbl_cleaning[[#This Row],[Scheme/Estate]],[1]!tbl_survey[Scheme Name],[1]!tbl_survey[Internal],"Not rated"),"Not rated")</f>
        <v>#VALUE!</v>
      </c>
      <c r="D229" s="432" t="s">
        <v>1377</v>
      </c>
      <c r="E229" s="449" t="s">
        <v>93</v>
      </c>
    </row>
    <row r="230" spans="1:7" ht="15" customHeight="1" x14ac:dyDescent="0.25">
      <c r="A230" s="463" t="s">
        <v>396</v>
      </c>
      <c r="B230" s="403" t="str">
        <f>_xlfn.XLOOKUP(tbl_cleaning[[#This Row],[Scheme/Estate]],[1]!tbl_survey[Scheme Name],[1]!tbl_survey[Internal],"Not rated")</f>
        <v>Not rated</v>
      </c>
      <c r="C230" s="403" t="e">
        <f t="array" ref="C230">IF(DATEVALUE([1]!tbl_survey[Date of inspection])&gt;DATEVALUE(B226),_xlfn.XLOOKUP(tbl_cleaning[[#This Row],[Scheme/Estate]],[1]!tbl_survey[Scheme Name],[1]!tbl_survey[Internal],"Not rated"),"Not rated")</f>
        <v>#VALUE!</v>
      </c>
      <c r="D230" s="432" t="s">
        <v>1372</v>
      </c>
      <c r="E230" s="443" t="s">
        <v>361</v>
      </c>
    </row>
    <row r="231" spans="1:7" ht="15" customHeight="1" x14ac:dyDescent="0.25">
      <c r="A231" s="463" t="s">
        <v>397</v>
      </c>
      <c r="B231" s="403" t="str">
        <f>_xlfn.XLOOKUP(tbl_cleaning[[#This Row],[Scheme/Estate]],[1]!tbl_survey[Scheme Name],[1]!tbl_survey[Internal],"Not rated")</f>
        <v>Not rated</v>
      </c>
      <c r="C231" s="403" t="e">
        <f t="array" ref="C231">IF(DATEVALUE([1]!tbl_survey[Date of inspection])&gt;DATEVALUE(B227),_xlfn.XLOOKUP(tbl_cleaning[[#This Row],[Scheme/Estate]],[1]!tbl_survey[Scheme Name],[1]!tbl_survey[Internal],"Not rated"),"Not rated")</f>
        <v>#VALUE!</v>
      </c>
      <c r="D231" s="432" t="s">
        <v>1365</v>
      </c>
      <c r="E231" s="449" t="s">
        <v>87</v>
      </c>
    </row>
    <row r="232" spans="1:7" ht="15" customHeight="1" x14ac:dyDescent="0.25">
      <c r="A232" s="391" t="s">
        <v>400</v>
      </c>
      <c r="B232" s="403" t="str">
        <f>_xlfn.XLOOKUP(tbl_cleaning[[#This Row],[Scheme/Estate]],[1]!tbl_survey[Scheme Name],[1]!tbl_survey[Internal],"Not rated")</f>
        <v>Not rated</v>
      </c>
      <c r="C232" s="403" t="e">
        <f t="array" ref="C232">IF(DATEVALUE([1]!tbl_survey[Date of inspection])&gt;DATEVALUE(B228),_xlfn.XLOOKUP(tbl_cleaning[[#This Row],[Scheme/Estate]],[1]!tbl_survey[Scheme Name],[1]!tbl_survey[Internal],"Not rated"),"Not rated")</f>
        <v>#VALUE!</v>
      </c>
      <c r="D232" s="432" t="s">
        <v>1371</v>
      </c>
      <c r="E232" s="154" t="s">
        <v>58</v>
      </c>
    </row>
    <row r="233" spans="1:7" ht="15" customHeight="1" x14ac:dyDescent="0.25">
      <c r="A233" s="462" t="s">
        <v>401</v>
      </c>
      <c r="B233" s="403" t="str">
        <f>_xlfn.XLOOKUP(tbl_cleaning[[#This Row],[Scheme/Estate]],[1]!tbl_survey[Scheme Name],[1]!tbl_survey[Internal],"Not rated")</f>
        <v>Not rated</v>
      </c>
      <c r="C233" s="403" t="e">
        <f t="array" ref="C233">IF(DATEVALUE([1]!tbl_survey[Date of inspection])&gt;DATEVALUE(B229),_xlfn.XLOOKUP(tbl_cleaning[[#This Row],[Scheme/Estate]],[1]!tbl_survey[Scheme Name],[1]!tbl_survey[Internal],"Not rated"),"Not rated")</f>
        <v>#VALUE!</v>
      </c>
      <c r="D233" s="432" t="s">
        <v>1375</v>
      </c>
      <c r="E233" s="449" t="s">
        <v>60</v>
      </c>
    </row>
    <row r="234" spans="1:7" ht="15" customHeight="1" x14ac:dyDescent="0.25">
      <c r="A234" s="391" t="s">
        <v>403</v>
      </c>
      <c r="B234" s="403" t="str">
        <f>_xlfn.XLOOKUP(tbl_cleaning[[#This Row],[Scheme/Estate]],[1]!tbl_survey[Scheme Name],[1]!tbl_survey[Internal],"Not rated")</f>
        <v>Not rated</v>
      </c>
      <c r="C234" s="403" t="e">
        <f t="array" ref="C234">IF(DATEVALUE([1]!tbl_survey[Date of inspection])&gt;DATEVALUE(B230),_xlfn.XLOOKUP(tbl_cleaning[[#This Row],[Scheme/Estate]],[1]!tbl_survey[Scheme Name],[1]!tbl_survey[Internal],"Not rated"),"Not rated")</f>
        <v>#VALUE!</v>
      </c>
      <c r="D234" s="432" t="s">
        <v>1372</v>
      </c>
      <c r="E234" s="443" t="s">
        <v>60</v>
      </c>
    </row>
    <row r="235" spans="1:7" ht="15" customHeight="1" x14ac:dyDescent="0.25">
      <c r="A235" s="482" t="s">
        <v>1412</v>
      </c>
      <c r="B235" s="403" t="str">
        <f>_xlfn.XLOOKUP(tbl_cleaning[[#This Row],[Scheme/Estate]],[1]!tbl_survey[Scheme Name],[1]!tbl_survey[Internal],"Not rated")</f>
        <v>Not rated</v>
      </c>
      <c r="C235" s="403" t="e">
        <f t="array" ref="C235">IF(DATEVALUE([1]!tbl_survey[Date of inspection])&gt;DATEVALUE(B231),_xlfn.XLOOKUP(tbl_cleaning[[#This Row],[Scheme/Estate]],[1]!tbl_survey[Scheme Name],[1]!tbl_survey[Internal],"Not rated"),"Not rated")</f>
        <v>#VALUE!</v>
      </c>
      <c r="D235" s="432" t="s">
        <v>1400</v>
      </c>
      <c r="E235" s="154" t="s">
        <v>93</v>
      </c>
    </row>
    <row r="236" spans="1:7" ht="15" customHeight="1" x14ac:dyDescent="0.25">
      <c r="A236" s="463" t="s">
        <v>404</v>
      </c>
      <c r="B236" s="403" t="str">
        <f>_xlfn.XLOOKUP(tbl_cleaning[[#This Row],[Scheme/Estate]],[1]!tbl_survey[Scheme Name],[1]!tbl_survey[Internal],"Not rated")</f>
        <v>Not rated</v>
      </c>
      <c r="C236" s="403" t="e">
        <f t="array" ref="C236">IF(DATEVALUE([1]!tbl_survey[Date of inspection])&gt;DATEVALUE(B232),_xlfn.XLOOKUP(tbl_cleaning[[#This Row],[Scheme/Estate]],[1]!tbl_survey[Scheme Name],[1]!tbl_survey[Internal],"Not rated"),"Not rated")</f>
        <v>#VALUE!</v>
      </c>
      <c r="D236" s="432" t="s">
        <v>1387</v>
      </c>
      <c r="E236" s="154" t="s">
        <v>93</v>
      </c>
    </row>
    <row r="237" spans="1:7" ht="15" customHeight="1" x14ac:dyDescent="0.25">
      <c r="A237" s="462" t="s">
        <v>405</v>
      </c>
      <c r="B237" s="403" t="str">
        <f>_xlfn.XLOOKUP(tbl_cleaning[[#This Row],[Scheme/Estate]],[1]!tbl_survey[Scheme Name],[1]!tbl_survey[Internal],"Not rated")</f>
        <v>Not rated</v>
      </c>
      <c r="C237" s="403" t="e">
        <f t="array" ref="C237">IF(DATEVALUE([1]!tbl_survey[Date of inspection])&gt;DATEVALUE(B233),_xlfn.XLOOKUP(tbl_cleaning[[#This Row],[Scheme/Estate]],[1]!tbl_survey[Scheme Name],[1]!tbl_survey[Internal],"Not rated"),"Not rated")</f>
        <v>#VALUE!</v>
      </c>
      <c r="D237" s="432" t="s">
        <v>1378</v>
      </c>
      <c r="E237" s="443" t="s">
        <v>87</v>
      </c>
    </row>
    <row r="238" spans="1:7" ht="15" customHeight="1" x14ac:dyDescent="0.25">
      <c r="A238" s="467" t="s">
        <v>407</v>
      </c>
      <c r="B238" s="403" t="str">
        <f>_xlfn.XLOOKUP(tbl_cleaning[[#This Row],[Scheme/Estate]],[1]!tbl_survey[Scheme Name],[1]!tbl_survey[Internal],"Not rated")</f>
        <v>Not rated</v>
      </c>
      <c r="C238" s="403" t="e">
        <f t="array" ref="C238">IF(DATEVALUE([1]!tbl_survey[Date of inspection])&gt;DATEVALUE(B234),_xlfn.XLOOKUP(tbl_cleaning[[#This Row],[Scheme/Estate]],[1]!tbl_survey[Scheme Name],[1]!tbl_survey[Internal],"Not rated"),"Not rated")</f>
        <v>#VALUE!</v>
      </c>
      <c r="D238" s="432" t="s">
        <v>1368</v>
      </c>
      <c r="E238" s="154" t="s">
        <v>60</v>
      </c>
    </row>
    <row r="239" spans="1:7" ht="15" customHeight="1" x14ac:dyDescent="0.25">
      <c r="A239" s="391" t="s">
        <v>408</v>
      </c>
      <c r="B239" s="403" t="str">
        <f>_xlfn.XLOOKUP(tbl_cleaning[[#This Row],[Scheme/Estate]],[1]!tbl_survey[Scheme Name],[1]!tbl_survey[Internal],"Not rated")</f>
        <v>Not rated</v>
      </c>
      <c r="C239" s="403" t="e">
        <f t="array" ref="C239">IF(DATEVALUE([1]!tbl_survey[Date of inspection])&gt;DATEVALUE(B235),_xlfn.XLOOKUP(tbl_cleaning[[#This Row],[Scheme/Estate]],[1]!tbl_survey[Scheme Name],[1]!tbl_survey[Internal],"Not rated"),"Not rated")</f>
        <v>#VALUE!</v>
      </c>
      <c r="D239" s="432" t="s">
        <v>1379</v>
      </c>
      <c r="E239" s="154" t="s">
        <v>409</v>
      </c>
    </row>
    <row r="240" spans="1:7" ht="15" customHeight="1" x14ac:dyDescent="0.25">
      <c r="A240" s="464" t="s">
        <v>411</v>
      </c>
      <c r="B240" s="403" t="str">
        <f>_xlfn.XLOOKUP(tbl_cleaning[[#This Row],[Scheme/Estate]],[1]!tbl_survey[Scheme Name],[1]!tbl_survey[Internal],"Not rated")</f>
        <v>Not rated</v>
      </c>
      <c r="C240" s="403" t="e">
        <f t="array" ref="C240">IF(DATEVALUE([1]!tbl_survey[Date of inspection])&gt;DATEVALUE(B236),_xlfn.XLOOKUP(tbl_cleaning[[#This Row],[Scheme/Estate]],[1]!tbl_survey[Scheme Name],[1]!tbl_survey[Internal],"Not rated"),"Not rated")</f>
        <v>#VALUE!</v>
      </c>
      <c r="D240" s="432" t="s">
        <v>1376</v>
      </c>
      <c r="E240" s="154" t="s">
        <v>60</v>
      </c>
    </row>
    <row r="241" spans="1:5" ht="15" customHeight="1" x14ac:dyDescent="0.25">
      <c r="A241" s="391" t="s">
        <v>412</v>
      </c>
      <c r="B241" s="403" t="str">
        <f>_xlfn.XLOOKUP(tbl_cleaning[[#This Row],[Scheme/Estate]],[1]!tbl_survey[Scheme Name],[1]!tbl_survey[Internal],"Not rated")</f>
        <v>Not rated</v>
      </c>
      <c r="C241" s="403" t="e">
        <f t="array" ref="C241">IF(DATEVALUE([1]!tbl_survey[Date of inspection])&gt;DATEVALUE(B237),_xlfn.XLOOKUP(tbl_cleaning[[#This Row],[Scheme/Estate]],[1]!tbl_survey[Scheme Name],[1]!tbl_survey[Internal],"Not rated"),"Not rated")</f>
        <v>#VALUE!</v>
      </c>
      <c r="D241" s="432" t="s">
        <v>1376</v>
      </c>
      <c r="E241" s="449" t="s">
        <v>60</v>
      </c>
    </row>
    <row r="242" spans="1:5" ht="15" customHeight="1" x14ac:dyDescent="0.25">
      <c r="A242" s="462" t="s">
        <v>414</v>
      </c>
      <c r="B242" s="403" t="str">
        <f>_xlfn.XLOOKUP(tbl_cleaning[[#This Row],[Scheme/Estate]],[1]!tbl_survey[Scheme Name],[1]!tbl_survey[Internal],"Not rated")</f>
        <v>Not rated</v>
      </c>
      <c r="C242" s="403" t="e">
        <f t="array" ref="C242">IF(DATEVALUE([1]!tbl_survey[Date of inspection])&gt;DATEVALUE(B238),_xlfn.XLOOKUP(tbl_cleaning[[#This Row],[Scheme/Estate]],[1]!tbl_survey[Scheme Name],[1]!tbl_survey[Internal],"Not rated"),"Not rated")</f>
        <v>#VALUE!</v>
      </c>
      <c r="D242" s="432" t="s">
        <v>1365</v>
      </c>
      <c r="E242" s="443" t="s">
        <v>87</v>
      </c>
    </row>
    <row r="243" spans="1:5" ht="15" customHeight="1" x14ac:dyDescent="0.25">
      <c r="A243" s="462" t="s">
        <v>1333</v>
      </c>
      <c r="B243" s="403" t="str">
        <f>_xlfn.XLOOKUP(tbl_cleaning[[#This Row],[Scheme/Estate]],[1]!tbl_survey[Scheme Name],[1]!tbl_survey[Internal],"Not rated")</f>
        <v>Not rated</v>
      </c>
      <c r="C243" s="403" t="e">
        <f t="array" ref="C243">IF(DATEVALUE([1]!tbl_survey[Date of inspection])&gt;DATEVALUE(B239),_xlfn.XLOOKUP(tbl_cleaning[[#This Row],[Scheme/Estate]],[1]!tbl_survey[Scheme Name],[1]!tbl_survey[Internal],"Not rated"),"Not rated")</f>
        <v>#VALUE!</v>
      </c>
      <c r="D243" s="432" t="s">
        <v>1376</v>
      </c>
      <c r="E243" s="450" t="s">
        <v>60</v>
      </c>
    </row>
    <row r="244" spans="1:5" ht="15" customHeight="1" x14ac:dyDescent="0.25">
      <c r="A244" s="462" t="s">
        <v>417</v>
      </c>
      <c r="B244" s="403" t="str">
        <f>_xlfn.XLOOKUP(tbl_cleaning[[#This Row],[Scheme/Estate]],[1]!tbl_survey[Scheme Name],[1]!tbl_survey[Internal],"Not rated")</f>
        <v>Not rated</v>
      </c>
      <c r="C244" s="403" t="e">
        <f t="array" ref="C244">IF(DATEVALUE([1]!tbl_survey[Date of inspection])&gt;DATEVALUE(B240),_xlfn.XLOOKUP(tbl_cleaning[[#This Row],[Scheme/Estate]],[1]!tbl_survey[Scheme Name],[1]!tbl_survey[Internal],"Not rated"),"Not rated")</f>
        <v>#VALUE!</v>
      </c>
      <c r="D244" s="432" t="s">
        <v>1373</v>
      </c>
      <c r="E244" s="446" t="s">
        <v>58</v>
      </c>
    </row>
    <row r="245" spans="1:5" ht="15" customHeight="1" x14ac:dyDescent="0.25">
      <c r="A245" s="462" t="s">
        <v>418</v>
      </c>
      <c r="B245" s="403" t="str">
        <f>_xlfn.XLOOKUP(tbl_cleaning[[#This Row],[Scheme/Estate]],[1]!tbl_survey[Scheme Name],[1]!tbl_survey[Internal],"Not rated")</f>
        <v>Not rated</v>
      </c>
      <c r="C245" s="403" t="e">
        <f t="array" ref="C245">IF(DATEVALUE([1]!tbl_survey[Date of inspection])&gt;DATEVALUE(B241),_xlfn.XLOOKUP(tbl_cleaning[[#This Row],[Scheme/Estate]],[1]!tbl_survey[Scheme Name],[1]!tbl_survey[Internal],"Not rated"),"Not rated")</f>
        <v>#VALUE!</v>
      </c>
      <c r="D245" s="432" t="s">
        <v>1378</v>
      </c>
      <c r="E245" s="443" t="s">
        <v>87</v>
      </c>
    </row>
    <row r="246" spans="1:5" ht="15" customHeight="1" x14ac:dyDescent="0.25">
      <c r="A246" s="463" t="s">
        <v>419</v>
      </c>
      <c r="B246" s="403">
        <f>_xlfn.XLOOKUP(tbl_cleaning[[#This Row],[Scheme/Estate]],[1]!tbl_survey[Scheme Name],[1]!tbl_survey[Internal],"Not rated")</f>
        <v>3</v>
      </c>
      <c r="C246" s="403" t="e">
        <f t="array" ref="C246">IF(DATEVALUE([1]!tbl_survey[Date of inspection])&gt;DATEVALUE(B242),_xlfn.XLOOKUP(tbl_cleaning[[#This Row],[Scheme/Estate]],[1]!tbl_survey[Scheme Name],[1]!tbl_survey[Internal],"Not rated"),"Not rated")</f>
        <v>#VALUE!</v>
      </c>
      <c r="D246" s="432" t="s">
        <v>1371</v>
      </c>
      <c r="E246" s="154" t="s">
        <v>58</v>
      </c>
    </row>
    <row r="247" spans="1:5" ht="15" customHeight="1" x14ac:dyDescent="0.25">
      <c r="A247" s="465" t="s">
        <v>420</v>
      </c>
      <c r="B247" s="403" t="str">
        <f>_xlfn.XLOOKUP(tbl_cleaning[[#This Row],[Scheme/Estate]],[1]!tbl_survey[Scheme Name],[1]!tbl_survey[Internal],"Not rated")</f>
        <v>Not rated</v>
      </c>
      <c r="C247" s="403" t="e">
        <f t="array" ref="C247">IF(DATEVALUE([1]!tbl_survey[Date of inspection])&gt;DATEVALUE(B243),_xlfn.XLOOKUP(tbl_cleaning[[#This Row],[Scheme/Estate]],[1]!tbl_survey[Scheme Name],[1]!tbl_survey[Internal],"Not rated"),"Not rated")</f>
        <v>#VALUE!</v>
      </c>
      <c r="D247" s="432" t="s">
        <v>1381</v>
      </c>
      <c r="E247" s="154" t="s">
        <v>60</v>
      </c>
    </row>
    <row r="248" spans="1:5" ht="15" customHeight="1" x14ac:dyDescent="0.25">
      <c r="A248" s="483" t="s">
        <v>421</v>
      </c>
      <c r="B248" s="403" t="str">
        <f>_xlfn.XLOOKUP(tbl_cleaning[[#This Row],[Scheme/Estate]],[1]!tbl_survey[Scheme Name],[1]!tbl_survey[Internal],"Not rated")</f>
        <v>Not rated</v>
      </c>
      <c r="C248" s="403" t="e">
        <f t="array" ref="C248">IF(DATEVALUE([1]!tbl_survey[Date of inspection])&gt;DATEVALUE(B244),_xlfn.XLOOKUP(tbl_cleaning[[#This Row],[Scheme/Estate]],[1]!tbl_survey[Scheme Name],[1]!tbl_survey[Internal],"Not rated"),"Not rated")</f>
        <v>#VALUE!</v>
      </c>
      <c r="D248" s="437" t="s">
        <v>1381</v>
      </c>
      <c r="E248" s="437" t="s">
        <v>60</v>
      </c>
    </row>
    <row r="249" spans="1:5" ht="15" customHeight="1" x14ac:dyDescent="0.25">
      <c r="A249" s="463" t="s">
        <v>422</v>
      </c>
      <c r="B249" s="403" t="str">
        <f>_xlfn.XLOOKUP(tbl_cleaning[[#This Row],[Scheme/Estate]],[1]!tbl_survey[Scheme Name],[1]!tbl_survey[Internal],"Not rated")</f>
        <v>Not rated</v>
      </c>
      <c r="C249" s="403" t="e">
        <f t="array" ref="C249">IF(DATEVALUE([1]!tbl_survey[Date of inspection])&gt;DATEVALUE(B245),_xlfn.XLOOKUP(tbl_cleaning[[#This Row],[Scheme/Estate]],[1]!tbl_survey[Scheme Name],[1]!tbl_survey[Internal],"Not rated"),"Not rated")</f>
        <v>#VALUE!</v>
      </c>
      <c r="D249" s="432" t="s">
        <v>1363</v>
      </c>
      <c r="E249" s="154" t="s">
        <v>58</v>
      </c>
    </row>
    <row r="250" spans="1:5" ht="15" customHeight="1" x14ac:dyDescent="0.25">
      <c r="A250" s="462" t="s">
        <v>423</v>
      </c>
      <c r="B250" s="403" t="str">
        <f>_xlfn.XLOOKUP(tbl_cleaning[[#This Row],[Scheme/Estate]],[1]!tbl_survey[Scheme Name],[1]!tbl_survey[Internal],"Not rated")</f>
        <v>Not rated</v>
      </c>
      <c r="C250" s="403" t="e">
        <f t="array" ref="C250">IF(DATEVALUE([1]!tbl_survey[Date of inspection])&gt;DATEVALUE(B246),_xlfn.XLOOKUP(tbl_cleaning[[#This Row],[Scheme/Estate]],[1]!tbl_survey[Scheme Name],[1]!tbl_survey[Internal],"Not rated"),"Not rated")</f>
        <v>#VALUE!</v>
      </c>
      <c r="D250" s="432" t="s">
        <v>1365</v>
      </c>
      <c r="E250" s="443" t="s">
        <v>87</v>
      </c>
    </row>
    <row r="251" spans="1:5" ht="15" customHeight="1" x14ac:dyDescent="0.25">
      <c r="A251" s="463" t="s">
        <v>424</v>
      </c>
      <c r="B251" s="403" t="str">
        <f>_xlfn.XLOOKUP(tbl_cleaning[[#This Row],[Scheme/Estate]],[1]!tbl_survey[Scheme Name],[1]!tbl_survey[Internal],"Not rated")</f>
        <v>Not rated</v>
      </c>
      <c r="C251" s="403" t="e">
        <f t="array" ref="C251">IF(DATEVALUE([1]!tbl_survey[Date of inspection])&gt;DATEVALUE(B247),_xlfn.XLOOKUP(tbl_cleaning[[#This Row],[Scheme/Estate]],[1]!tbl_survey[Scheme Name],[1]!tbl_survey[Internal],"Not rated"),"Not rated")</f>
        <v>#VALUE!</v>
      </c>
      <c r="D251" s="432" t="s">
        <v>1387</v>
      </c>
      <c r="E251" s="154" t="s">
        <v>93</v>
      </c>
    </row>
    <row r="252" spans="1:5" ht="15" customHeight="1" x14ac:dyDescent="0.25">
      <c r="A252" s="464" t="s">
        <v>426</v>
      </c>
      <c r="B252" s="403" t="str">
        <f>_xlfn.XLOOKUP(tbl_cleaning[[#This Row],[Scheme/Estate]],[1]!tbl_survey[Scheme Name],[1]!tbl_survey[Internal],"Not rated")</f>
        <v>Not rated</v>
      </c>
      <c r="C252" s="403" t="e">
        <f t="array" ref="C252">IF(DATEVALUE([1]!tbl_survey[Date of inspection])&gt;DATEVALUE(B248),_xlfn.XLOOKUP(tbl_cleaning[[#This Row],[Scheme/Estate]],[1]!tbl_survey[Scheme Name],[1]!tbl_survey[Internal],"Not rated"),"Not rated")</f>
        <v>#VALUE!</v>
      </c>
      <c r="D252" s="432" t="s">
        <v>1373</v>
      </c>
      <c r="E252" s="154" t="s">
        <v>58</v>
      </c>
    </row>
    <row r="253" spans="1:5" ht="15" customHeight="1" x14ac:dyDescent="0.25">
      <c r="A253" s="462" t="s">
        <v>1435</v>
      </c>
      <c r="B253" s="403" t="str">
        <f>_xlfn.XLOOKUP(tbl_cleaning[[#This Row],[Scheme/Estate]],[1]!tbl_survey[Scheme Name],[1]!tbl_survey[Internal],"Not rated")</f>
        <v>Not rated</v>
      </c>
      <c r="C253" s="403" t="e">
        <f t="array" ref="C253">IF(DATEVALUE([1]!tbl_survey[Date of inspection])&gt;DATEVALUE(B249),_xlfn.XLOOKUP(tbl_cleaning[[#This Row],[Scheme/Estate]],[1]!tbl_survey[Scheme Name],[1]!tbl_survey[Internal],"Not rated"),"Not rated")</f>
        <v>#VALUE!</v>
      </c>
      <c r="D253" s="432" t="s">
        <v>1373</v>
      </c>
      <c r="E253" s="154" t="s">
        <v>1436</v>
      </c>
    </row>
    <row r="254" spans="1:5" ht="15" customHeight="1" x14ac:dyDescent="0.25">
      <c r="A254" s="470" t="s">
        <v>427</v>
      </c>
      <c r="B254" s="403">
        <f>_xlfn.XLOOKUP(tbl_cleaning[[#This Row],[Scheme/Estate]],[1]!tbl_survey[Scheme Name],[1]!tbl_survey[Internal],"Not rated")</f>
        <v>3</v>
      </c>
      <c r="C254" s="403" t="e">
        <f t="array" ref="C254">IF(DATEVALUE([1]!tbl_survey[Date of inspection])&gt;DATEVALUE(B250),_xlfn.XLOOKUP(tbl_cleaning[[#This Row],[Scheme/Estate]],[1]!tbl_survey[Scheme Name],[1]!tbl_survey[Internal],"Not rated"),"Not rated")</f>
        <v>#VALUE!</v>
      </c>
      <c r="D254" s="432" t="s">
        <v>1373</v>
      </c>
      <c r="E254" s="154" t="s">
        <v>58</v>
      </c>
    </row>
    <row r="255" spans="1:5" ht="15" customHeight="1" x14ac:dyDescent="0.25">
      <c r="A255" s="463" t="s">
        <v>428</v>
      </c>
      <c r="B255" s="403" t="str">
        <f>_xlfn.XLOOKUP(tbl_cleaning[[#This Row],[Scheme/Estate]],[1]!tbl_survey[Scheme Name],[1]!tbl_survey[Internal],"Not rated")</f>
        <v>Not rated</v>
      </c>
      <c r="C255" s="403" t="e">
        <f t="array" ref="C255">IF(DATEVALUE([1]!tbl_survey[Date of inspection])&gt;DATEVALUE(B251),_xlfn.XLOOKUP(tbl_cleaning[[#This Row],[Scheme/Estate]],[1]!tbl_survey[Scheme Name],[1]!tbl_survey[Internal],"Not rated"),"Not rated")</f>
        <v>#VALUE!</v>
      </c>
      <c r="D255" s="432" t="s">
        <v>1370</v>
      </c>
      <c r="E255" s="154" t="s">
        <v>93</v>
      </c>
    </row>
    <row r="256" spans="1:5" ht="15" customHeight="1" x14ac:dyDescent="0.25">
      <c r="A256" s="464" t="s">
        <v>430</v>
      </c>
      <c r="B256" s="403" t="str">
        <f>_xlfn.XLOOKUP(tbl_cleaning[[#This Row],[Scheme/Estate]],[1]!tbl_survey[Scheme Name],[1]!tbl_survey[Internal],"Not rated")</f>
        <v>Not rated</v>
      </c>
      <c r="C256" s="403" t="e">
        <f t="array" ref="C256">IF(DATEVALUE([1]!tbl_survey[Date of inspection])&gt;DATEVALUE(B252),_xlfn.XLOOKUP(tbl_cleaning[[#This Row],[Scheme/Estate]],[1]!tbl_survey[Scheme Name],[1]!tbl_survey[Internal],"Not rated"),"Not rated")</f>
        <v>#VALUE!</v>
      </c>
      <c r="D256" s="433" t="s">
        <v>1374</v>
      </c>
      <c r="E256" s="454" t="s">
        <v>55</v>
      </c>
    </row>
    <row r="257" spans="1:5" ht="15" customHeight="1" x14ac:dyDescent="0.25">
      <c r="A257" s="391" t="s">
        <v>431</v>
      </c>
      <c r="B257" s="403">
        <f>_xlfn.XLOOKUP(tbl_cleaning[[#This Row],[Scheme/Estate]],[1]!tbl_survey[Scheme Name],[1]!tbl_survey[Internal],"Not rated")</f>
        <v>3</v>
      </c>
      <c r="C257" s="403" t="e">
        <f t="array" ref="C257">IF(DATEVALUE([1]!tbl_survey[Date of inspection])&gt;DATEVALUE(B253),_xlfn.XLOOKUP(tbl_cleaning[[#This Row],[Scheme/Estate]],[1]!tbl_survey[Scheme Name],[1]!tbl_survey[Internal],"Not rated"),"Not rated")</f>
        <v>#VALUE!</v>
      </c>
      <c r="D257" s="432" t="s">
        <v>1383</v>
      </c>
      <c r="E257" s="154" t="s">
        <v>87</v>
      </c>
    </row>
    <row r="258" spans="1:5" ht="15" customHeight="1" x14ac:dyDescent="0.25">
      <c r="A258" s="463" t="s">
        <v>432</v>
      </c>
      <c r="B258" s="403" t="str">
        <f>_xlfn.XLOOKUP(tbl_cleaning[[#This Row],[Scheme/Estate]],[1]!tbl_survey[Scheme Name],[1]!tbl_survey[Internal],"Not rated")</f>
        <v>Not rated</v>
      </c>
      <c r="C258" s="403" t="e">
        <f t="array" ref="C258">IF(DATEVALUE([1]!tbl_survey[Date of inspection])&gt;DATEVALUE(B254),_xlfn.XLOOKUP(tbl_cleaning[[#This Row],[Scheme/Estate]],[1]!tbl_survey[Scheme Name],[1]!tbl_survey[Internal],"Not rated"),"Not rated")</f>
        <v>#VALUE!</v>
      </c>
      <c r="D258" s="432" t="s">
        <v>1383</v>
      </c>
      <c r="E258" s="154" t="s">
        <v>87</v>
      </c>
    </row>
    <row r="259" spans="1:5" ht="15" customHeight="1" x14ac:dyDescent="0.25">
      <c r="A259" s="464" t="s">
        <v>433</v>
      </c>
      <c r="B259" s="403" t="str">
        <f>_xlfn.XLOOKUP(tbl_cleaning[[#This Row],[Scheme/Estate]],[1]!tbl_survey[Scheme Name],[1]!tbl_survey[Internal],"Not rated")</f>
        <v>Not rated</v>
      </c>
      <c r="C259" s="403" t="e">
        <f t="array" ref="C259">IF(DATEVALUE([1]!tbl_survey[Date of inspection])&gt;DATEVALUE(B255),_xlfn.XLOOKUP(tbl_cleaning[[#This Row],[Scheme/Estate]],[1]!tbl_survey[Scheme Name],[1]!tbl_survey[Internal],"Not rated"),"Not rated")</f>
        <v>#VALUE!</v>
      </c>
      <c r="D259" s="432" t="s">
        <v>1368</v>
      </c>
      <c r="E259" s="154" t="s">
        <v>60</v>
      </c>
    </row>
    <row r="260" spans="1:5" ht="15" customHeight="1" x14ac:dyDescent="0.25">
      <c r="A260" s="462" t="s">
        <v>434</v>
      </c>
      <c r="B260" s="403" t="str">
        <f>_xlfn.XLOOKUP(tbl_cleaning[[#This Row],[Scheme/Estate]],[1]!tbl_survey[Scheme Name],[1]!tbl_survey[Internal],"Not rated")</f>
        <v>Not rated</v>
      </c>
      <c r="C260" s="403" t="e">
        <f t="array" ref="C260">IF(DATEVALUE([1]!tbl_survey[Date of inspection])&gt;DATEVALUE(B256),_xlfn.XLOOKUP(tbl_cleaning[[#This Row],[Scheme/Estate]],[1]!tbl_survey[Scheme Name],[1]!tbl_survey[Internal],"Not rated"),"Not rated")</f>
        <v>#VALUE!</v>
      </c>
      <c r="D260" s="432" t="s">
        <v>1369</v>
      </c>
      <c r="E260" s="154" t="s">
        <v>58</v>
      </c>
    </row>
    <row r="261" spans="1:5" ht="15" customHeight="1" x14ac:dyDescent="0.25">
      <c r="A261" s="462" t="s">
        <v>435</v>
      </c>
      <c r="B261" s="403">
        <f>_xlfn.XLOOKUP(tbl_cleaning[[#This Row],[Scheme/Estate]],[1]!tbl_survey[Scheme Name],[1]!tbl_survey[Internal],"Not rated")</f>
        <v>3</v>
      </c>
      <c r="C261" s="403" t="e">
        <f t="array" ref="C261">IF(DATEVALUE([1]!tbl_survey[Date of inspection])&gt;DATEVALUE(B257),_xlfn.XLOOKUP(tbl_cleaning[[#This Row],[Scheme/Estate]],[1]!tbl_survey[Scheme Name],[1]!tbl_survey[Internal],"Not rated"),"Not rated")</f>
        <v>#VALUE!</v>
      </c>
      <c r="D261" s="432" t="s">
        <v>1369</v>
      </c>
      <c r="E261" s="154" t="s">
        <v>58</v>
      </c>
    </row>
    <row r="262" spans="1:5" ht="15" customHeight="1" x14ac:dyDescent="0.25">
      <c r="A262" s="462" t="s">
        <v>436</v>
      </c>
      <c r="B262" s="403" t="str">
        <f>_xlfn.XLOOKUP(tbl_cleaning[[#This Row],[Scheme/Estate]],[1]!tbl_survey[Scheme Name],[1]!tbl_survey[Internal],"Not rated")</f>
        <v>Not rated</v>
      </c>
      <c r="C262" s="403" t="e">
        <f t="array" ref="C262">IF(DATEVALUE([1]!tbl_survey[Date of inspection])&gt;DATEVALUE(B258),_xlfn.XLOOKUP(tbl_cleaning[[#This Row],[Scheme/Estate]],[1]!tbl_survey[Scheme Name],[1]!tbl_survey[Internal],"Not rated"),"Not rated")</f>
        <v>#VALUE!</v>
      </c>
      <c r="D262" s="432" t="s">
        <v>1375</v>
      </c>
      <c r="E262" s="154" t="s">
        <v>60</v>
      </c>
    </row>
    <row r="263" spans="1:5" ht="15" customHeight="1" x14ac:dyDescent="0.25">
      <c r="A263" s="462" t="s">
        <v>437</v>
      </c>
      <c r="B263" s="403" t="str">
        <f>_xlfn.XLOOKUP(tbl_cleaning[[#This Row],[Scheme/Estate]],[1]!tbl_survey[Scheme Name],[1]!tbl_survey[Internal],"Not rated")</f>
        <v>Not rated</v>
      </c>
      <c r="C263" s="403" t="e">
        <f t="array" ref="C263">IF(DATEVALUE([1]!tbl_survey[Date of inspection])&gt;DATEVALUE(B259),_xlfn.XLOOKUP(tbl_cleaning[[#This Row],[Scheme/Estate]],[1]!tbl_survey[Scheme Name],[1]!tbl_survey[Internal],"Not rated"),"Not rated")</f>
        <v>#VALUE!</v>
      </c>
      <c r="D263" s="432" t="s">
        <v>1373</v>
      </c>
      <c r="E263" s="154" t="s">
        <v>58</v>
      </c>
    </row>
    <row r="264" spans="1:5" ht="15" customHeight="1" x14ac:dyDescent="0.25">
      <c r="A264" s="462" t="s">
        <v>438</v>
      </c>
      <c r="B264" s="403">
        <f>_xlfn.XLOOKUP(tbl_cleaning[[#This Row],[Scheme/Estate]],[1]!tbl_survey[Scheme Name],[1]!tbl_survey[Internal],"Not rated")</f>
        <v>3</v>
      </c>
      <c r="C264" s="403" t="e">
        <f t="array" ref="C264">IF(DATEVALUE([1]!tbl_survey[Date of inspection])&gt;DATEVALUE(B260),_xlfn.XLOOKUP(tbl_cleaning[[#This Row],[Scheme/Estate]],[1]!tbl_survey[Scheme Name],[1]!tbl_survey[Internal],"Not rated"),"Not rated")</f>
        <v>#VALUE!</v>
      </c>
      <c r="D264" s="432" t="s">
        <v>1369</v>
      </c>
      <c r="E264" s="154" t="s">
        <v>58</v>
      </c>
    </row>
    <row r="265" spans="1:5" ht="15" customHeight="1" x14ac:dyDescent="0.25">
      <c r="A265" s="463" t="s">
        <v>439</v>
      </c>
      <c r="B265" s="403" t="str">
        <f>_xlfn.XLOOKUP(tbl_cleaning[[#This Row],[Scheme/Estate]],[1]!tbl_survey[Scheme Name],[1]!tbl_survey[Internal],"Not rated")</f>
        <v>Not rated</v>
      </c>
      <c r="C265" s="403" t="e">
        <f t="array" ref="C265">IF(DATEVALUE([1]!tbl_survey[Date of inspection])&gt;DATEVALUE(B261),_xlfn.XLOOKUP(tbl_cleaning[[#This Row],[Scheme/Estate]],[1]!tbl_survey[Scheme Name],[1]!tbl_survey[Internal],"Not rated"),"Not rated")</f>
        <v>#VALUE!</v>
      </c>
      <c r="D265" s="432" t="s">
        <v>1382</v>
      </c>
      <c r="E265" s="450" t="s">
        <v>93</v>
      </c>
    </row>
    <row r="266" spans="1:5" ht="15" customHeight="1" x14ac:dyDescent="0.25">
      <c r="A266" s="462" t="s">
        <v>440</v>
      </c>
      <c r="B266" s="403" t="str">
        <f>_xlfn.XLOOKUP(tbl_cleaning[[#This Row],[Scheme/Estate]],[1]!tbl_survey[Scheme Name],[1]!tbl_survey[Internal],"Not rated")</f>
        <v>Not rated</v>
      </c>
      <c r="C266" s="403" t="e">
        <f t="array" ref="C266">IF(DATEVALUE([1]!tbl_survey[Date of inspection])&gt;DATEVALUE(B262),_xlfn.XLOOKUP(tbl_cleaning[[#This Row],[Scheme/Estate]],[1]!tbl_survey[Scheme Name],[1]!tbl_survey[Internal],"Not rated"),"Not rated")</f>
        <v>#VALUE!</v>
      </c>
      <c r="D266" s="432" t="s">
        <v>1383</v>
      </c>
      <c r="E266" s="452" t="s">
        <v>87</v>
      </c>
    </row>
    <row r="267" spans="1:5" ht="15" customHeight="1" x14ac:dyDescent="0.25">
      <c r="A267" s="462" t="s">
        <v>441</v>
      </c>
      <c r="B267" s="403" t="str">
        <f>_xlfn.XLOOKUP(tbl_cleaning[[#This Row],[Scheme/Estate]],[1]!tbl_survey[Scheme Name],[1]!tbl_survey[Internal],"Not rated")</f>
        <v>Not rated</v>
      </c>
      <c r="C267" s="403" t="e">
        <f t="array" ref="C267">IF(DATEVALUE([1]!tbl_survey[Date of inspection])&gt;DATEVALUE(B263),_xlfn.XLOOKUP(tbl_cleaning[[#This Row],[Scheme/Estate]],[1]!tbl_survey[Scheme Name],[1]!tbl_survey[Internal],"Not rated"),"Not rated")</f>
        <v>#VALUE!</v>
      </c>
      <c r="D267" s="432" t="s">
        <v>1376</v>
      </c>
      <c r="E267" s="154" t="s">
        <v>60</v>
      </c>
    </row>
    <row r="268" spans="1:5" ht="15" customHeight="1" x14ac:dyDescent="0.25">
      <c r="A268" s="462" t="s">
        <v>1413</v>
      </c>
      <c r="B268" s="403" t="str">
        <f>_xlfn.XLOOKUP(tbl_cleaning[[#This Row],[Scheme/Estate]],[1]!tbl_survey[Scheme Name],[1]!tbl_survey[Internal],"Not rated")</f>
        <v>Not rated</v>
      </c>
      <c r="C268" s="403" t="e">
        <f t="array" ref="C268">IF(DATEVALUE([1]!tbl_survey[Date of inspection])&gt;DATEVALUE(B264),_xlfn.XLOOKUP(tbl_cleaning[[#This Row],[Scheme/Estate]],[1]!tbl_survey[Scheme Name],[1]!tbl_survey[Internal],"Not rated"),"Not rated")</f>
        <v>#VALUE!</v>
      </c>
      <c r="D268" s="432" t="s">
        <v>1376</v>
      </c>
      <c r="E268" s="154" t="s">
        <v>60</v>
      </c>
    </row>
    <row r="269" spans="1:5" ht="15" customHeight="1" x14ac:dyDescent="0.25">
      <c r="A269" s="477" t="s">
        <v>443</v>
      </c>
      <c r="B269" s="403" t="str">
        <f>_xlfn.XLOOKUP(tbl_cleaning[[#This Row],[Scheme/Estate]],[1]!tbl_survey[Scheme Name],[1]!tbl_survey[Internal],"Not rated")</f>
        <v>Not rated</v>
      </c>
      <c r="C269" s="403" t="e">
        <f t="array" ref="C269">IF(DATEVALUE([1]!tbl_survey[Date of inspection])&gt;DATEVALUE(B265),_xlfn.XLOOKUP(tbl_cleaning[[#This Row],[Scheme/Estate]],[1]!tbl_survey[Scheme Name],[1]!tbl_survey[Internal],"Not rated"),"Not rated")</f>
        <v>#VALUE!</v>
      </c>
      <c r="D269" s="432" t="s">
        <v>1381</v>
      </c>
      <c r="E269" s="154" t="s">
        <v>60</v>
      </c>
    </row>
    <row r="270" spans="1:5" ht="15" customHeight="1" x14ac:dyDescent="0.25">
      <c r="A270" s="462" t="s">
        <v>445</v>
      </c>
      <c r="B270" s="403" t="str">
        <f>_xlfn.XLOOKUP(tbl_cleaning[[#This Row],[Scheme/Estate]],[1]!tbl_survey[Scheme Name],[1]!tbl_survey[Internal],"Not rated")</f>
        <v>Not rated</v>
      </c>
      <c r="C270" s="403" t="e">
        <f t="array" ref="C270">IF(DATEVALUE([1]!tbl_survey[Date of inspection])&gt;DATEVALUE(B266),_xlfn.XLOOKUP(tbl_cleaning[[#This Row],[Scheme/Estate]],[1]!tbl_survey[Scheme Name],[1]!tbl_survey[Internal],"Not rated"),"Not rated")</f>
        <v>#VALUE!</v>
      </c>
      <c r="D270" s="432" t="s">
        <v>1376</v>
      </c>
      <c r="E270" s="450" t="s">
        <v>60</v>
      </c>
    </row>
    <row r="271" spans="1:5" ht="15" customHeight="1" x14ac:dyDescent="0.25">
      <c r="A271" s="462" t="s">
        <v>448</v>
      </c>
      <c r="B271" s="403" t="str">
        <f>_xlfn.XLOOKUP(tbl_cleaning[[#This Row],[Scheme/Estate]],[1]!tbl_survey[Scheme Name],[1]!tbl_survey[Internal],"Not rated")</f>
        <v>Not rated</v>
      </c>
      <c r="C271" s="403" t="e">
        <f t="array" ref="C271">IF(DATEVALUE([1]!tbl_survey[Date of inspection])&gt;DATEVALUE(B267),_xlfn.XLOOKUP(tbl_cleaning[[#This Row],[Scheme/Estate]],[1]!tbl_survey[Scheme Name],[1]!tbl_survey[Internal],"Not rated"),"Not rated")</f>
        <v>#VALUE!</v>
      </c>
      <c r="D271" s="436" t="s">
        <v>1381</v>
      </c>
      <c r="E271" s="446" t="s">
        <v>60</v>
      </c>
    </row>
    <row r="272" spans="1:5" ht="15" customHeight="1" x14ac:dyDescent="0.25">
      <c r="A272" s="462" t="s">
        <v>1334</v>
      </c>
      <c r="B272" s="403" t="str">
        <f>_xlfn.XLOOKUP(tbl_cleaning[[#This Row],[Scheme/Estate]],[1]!tbl_survey[Scheme Name],[1]!tbl_survey[Internal],"Not rated")</f>
        <v>Not rated</v>
      </c>
      <c r="C272" s="403" t="e">
        <f t="array" ref="C272">IF(DATEVALUE([1]!tbl_survey[Date of inspection])&gt;DATEVALUE(B268),_xlfn.XLOOKUP(tbl_cleaning[[#This Row],[Scheme/Estate]],[1]!tbl_survey[Scheme Name],[1]!tbl_survey[Internal],"Not rated"),"Not rated")</f>
        <v>#VALUE!</v>
      </c>
      <c r="D272" s="432" t="s">
        <v>1381</v>
      </c>
      <c r="E272" s="154" t="s">
        <v>60</v>
      </c>
    </row>
    <row r="273" spans="1:5" ht="15" customHeight="1" x14ac:dyDescent="0.25">
      <c r="A273" s="462" t="s">
        <v>451</v>
      </c>
      <c r="B273" s="403" t="str">
        <f>_xlfn.XLOOKUP(tbl_cleaning[[#This Row],[Scheme/Estate]],[1]!tbl_survey[Scheme Name],[1]!tbl_survey[Internal],"Not rated")</f>
        <v>Not rated</v>
      </c>
      <c r="C273" s="403" t="e">
        <f t="array" ref="C273">IF(DATEVALUE([1]!tbl_survey[Date of inspection])&gt;DATEVALUE(B269),_xlfn.XLOOKUP(tbl_cleaning[[#This Row],[Scheme/Estate]],[1]!tbl_survey[Scheme Name],[1]!tbl_survey[Internal],"Not rated"),"Not rated")</f>
        <v>#VALUE!</v>
      </c>
      <c r="D273" s="432" t="s">
        <v>1380</v>
      </c>
      <c r="E273" s="154" t="s">
        <v>60</v>
      </c>
    </row>
    <row r="274" spans="1:5" ht="15" customHeight="1" x14ac:dyDescent="0.25">
      <c r="A274" s="463" t="s">
        <v>453</v>
      </c>
      <c r="B274" s="403" t="str">
        <f>_xlfn.XLOOKUP(tbl_cleaning[[#This Row],[Scheme/Estate]],[1]!tbl_survey[Scheme Name],[1]!tbl_survey[Internal],"Not rated")</f>
        <v>Not rated</v>
      </c>
      <c r="C274" s="403" t="e">
        <f t="array" ref="C274">IF(DATEVALUE([1]!tbl_survey[Date of inspection])&gt;DATEVALUE(B270),_xlfn.XLOOKUP(tbl_cleaning[[#This Row],[Scheme/Estate]],[1]!tbl_survey[Scheme Name],[1]!tbl_survey[Internal],"Not rated"),"Not rated")</f>
        <v>#VALUE!</v>
      </c>
      <c r="D274" s="432" t="s">
        <v>1379</v>
      </c>
      <c r="E274" s="154" t="s">
        <v>58</v>
      </c>
    </row>
    <row r="275" spans="1:5" ht="15" customHeight="1" x14ac:dyDescent="0.25">
      <c r="A275" s="465" t="s">
        <v>454</v>
      </c>
      <c r="B275" s="403" t="str">
        <f>_xlfn.XLOOKUP(tbl_cleaning[[#This Row],[Scheme/Estate]],[1]!tbl_survey[Scheme Name],[1]!tbl_survey[Internal],"Not rated")</f>
        <v>Not rated</v>
      </c>
      <c r="C275" s="403" t="e">
        <f t="array" ref="C275">IF(DATEVALUE([1]!tbl_survey[Date of inspection])&gt;DATEVALUE(B271),_xlfn.XLOOKUP(tbl_cleaning[[#This Row],[Scheme/Estate]],[1]!tbl_survey[Scheme Name],[1]!tbl_survey[Internal],"Not rated"),"Not rated")</f>
        <v>#VALUE!</v>
      </c>
      <c r="D275" s="432" t="s">
        <v>1368</v>
      </c>
      <c r="E275" s="154" t="s">
        <v>60</v>
      </c>
    </row>
    <row r="276" spans="1:5" ht="15" customHeight="1" x14ac:dyDescent="0.25">
      <c r="A276" s="462" t="s">
        <v>455</v>
      </c>
      <c r="B276" s="403" t="str">
        <f>_xlfn.XLOOKUP(tbl_cleaning[[#This Row],[Scheme/Estate]],[1]!tbl_survey[Scheme Name],[1]!tbl_survey[Internal],"Not rated")</f>
        <v>Not rated</v>
      </c>
      <c r="C276" s="403" t="e">
        <f t="array" ref="C276">IF(DATEVALUE([1]!tbl_survey[Date of inspection])&gt;DATEVALUE(B272),_xlfn.XLOOKUP(tbl_cleaning[[#This Row],[Scheme/Estate]],[1]!tbl_survey[Scheme Name],[1]!tbl_survey[Internal],"Not rated"),"Not rated")</f>
        <v>#VALUE!</v>
      </c>
      <c r="D276" s="432" t="s">
        <v>1380</v>
      </c>
      <c r="E276" s="154" t="s">
        <v>60</v>
      </c>
    </row>
    <row r="277" spans="1:5" ht="15" customHeight="1" x14ac:dyDescent="0.25">
      <c r="A277" s="462" t="s">
        <v>456</v>
      </c>
      <c r="B277" s="403" t="str">
        <f>_xlfn.XLOOKUP(tbl_cleaning[[#This Row],[Scheme/Estate]],[1]!tbl_survey[Scheme Name],[1]!tbl_survey[Internal],"Not rated")</f>
        <v>Not rated</v>
      </c>
      <c r="C277" s="403" t="e">
        <f t="array" ref="C277">IF(DATEVALUE([1]!tbl_survey[Date of inspection])&gt;DATEVALUE(B273),_xlfn.XLOOKUP(tbl_cleaning[[#This Row],[Scheme/Estate]],[1]!tbl_survey[Scheme Name],[1]!tbl_survey[Internal],"Not rated"),"Not rated")</f>
        <v>#VALUE!</v>
      </c>
      <c r="D277" s="432" t="s">
        <v>1368</v>
      </c>
      <c r="E277" s="154" t="s">
        <v>60</v>
      </c>
    </row>
    <row r="278" spans="1:5" ht="15" customHeight="1" x14ac:dyDescent="0.25">
      <c r="A278" s="463" t="s">
        <v>457</v>
      </c>
      <c r="B278" s="403" t="str">
        <f>_xlfn.XLOOKUP(tbl_cleaning[[#This Row],[Scheme/Estate]],[1]!tbl_survey[Scheme Name],[1]!tbl_survey[Internal],"Not rated")</f>
        <v>Not rated</v>
      </c>
      <c r="C278" s="403" t="e">
        <f t="array" ref="C278">IF(DATEVALUE([1]!tbl_survey[Date of inspection])&gt;DATEVALUE(B274),_xlfn.XLOOKUP(tbl_cleaning[[#This Row],[Scheme/Estate]],[1]!tbl_survey[Scheme Name],[1]!tbl_survey[Internal],"Not rated"),"Not rated")</f>
        <v>#VALUE!</v>
      </c>
      <c r="D278" s="432" t="s">
        <v>1370</v>
      </c>
      <c r="E278" s="449" t="s">
        <v>93</v>
      </c>
    </row>
    <row r="279" spans="1:5" ht="15" customHeight="1" x14ac:dyDescent="0.25">
      <c r="A279" s="465" t="s">
        <v>461</v>
      </c>
      <c r="B279" s="403" t="str">
        <f>_xlfn.XLOOKUP(tbl_cleaning[[#This Row],[Scheme/Estate]],[1]!tbl_survey[Scheme Name],[1]!tbl_survey[Internal],"Not rated")</f>
        <v>Not rated</v>
      </c>
      <c r="C279" s="403" t="e">
        <f t="array" ref="C279">IF(DATEVALUE([1]!tbl_survey[Date of inspection])&gt;DATEVALUE(B275),_xlfn.XLOOKUP(tbl_cleaning[[#This Row],[Scheme/Estate]],[1]!tbl_survey[Scheme Name],[1]!tbl_survey[Internal],"Not rated"),"Not rated")</f>
        <v>#VALUE!</v>
      </c>
      <c r="D279" s="432" t="s">
        <v>1369</v>
      </c>
      <c r="E279" s="154" t="s">
        <v>58</v>
      </c>
    </row>
    <row r="280" spans="1:5" ht="15" customHeight="1" x14ac:dyDescent="0.25">
      <c r="A280" s="463" t="s">
        <v>462</v>
      </c>
      <c r="B280" s="403">
        <f>_xlfn.XLOOKUP(tbl_cleaning[[#This Row],[Scheme/Estate]],[1]!tbl_survey[Scheme Name],[1]!tbl_survey[Internal],"Not rated")</f>
        <v>3</v>
      </c>
      <c r="C280" s="403" t="e">
        <f t="array" ref="C280">IF(DATEVALUE([1]!tbl_survey[Date of inspection])&gt;DATEVALUE(B276),_xlfn.XLOOKUP(tbl_cleaning[[#This Row],[Scheme/Estate]],[1]!tbl_survey[Scheme Name],[1]!tbl_survey[Internal],"Not rated"),"Not rated")</f>
        <v>#VALUE!</v>
      </c>
      <c r="D280" s="432" t="s">
        <v>1369</v>
      </c>
      <c r="E280" s="450" t="s">
        <v>58</v>
      </c>
    </row>
    <row r="281" spans="1:5" ht="15" customHeight="1" x14ac:dyDescent="0.25">
      <c r="A281" s="462" t="s">
        <v>463</v>
      </c>
      <c r="B281" s="403">
        <f>_xlfn.XLOOKUP(tbl_cleaning[[#This Row],[Scheme/Estate]],[1]!tbl_survey[Scheme Name],[1]!tbl_survey[Internal],"Not rated")</f>
        <v>3</v>
      </c>
      <c r="C281" s="403" t="e">
        <f t="array" ref="C281">IF(DATEVALUE([1]!tbl_survey[Date of inspection])&gt;DATEVALUE(B277),_xlfn.XLOOKUP(tbl_cleaning[[#This Row],[Scheme/Estate]],[1]!tbl_survey[Scheme Name],[1]!tbl_survey[Internal],"Not rated"),"Not rated")</f>
        <v>#VALUE!</v>
      </c>
      <c r="D281" s="432" t="s">
        <v>1369</v>
      </c>
      <c r="E281" s="446" t="s">
        <v>58</v>
      </c>
    </row>
    <row r="282" spans="1:5" ht="15" customHeight="1" x14ac:dyDescent="0.25">
      <c r="A282" s="462" t="s">
        <v>464</v>
      </c>
      <c r="B282" s="403">
        <f>_xlfn.XLOOKUP(tbl_cleaning[[#This Row],[Scheme/Estate]],[1]!tbl_survey[Scheme Name],[1]!tbl_survey[Internal],"Not rated")</f>
        <v>3</v>
      </c>
      <c r="C282" s="403" t="e">
        <f t="array" ref="C282">IF(DATEVALUE([1]!tbl_survey[Date of inspection])&gt;DATEVALUE(B278),_xlfn.XLOOKUP(tbl_cleaning[[#This Row],[Scheme/Estate]],[1]!tbl_survey[Scheme Name],[1]!tbl_survey[Internal],"Not rated"),"Not rated")</f>
        <v>#VALUE!</v>
      </c>
      <c r="D282" s="432" t="s">
        <v>1369</v>
      </c>
      <c r="E282" s="154" t="s">
        <v>58</v>
      </c>
    </row>
    <row r="283" spans="1:5" ht="15" customHeight="1" x14ac:dyDescent="0.25">
      <c r="A283" s="467" t="s">
        <v>465</v>
      </c>
      <c r="B283" s="403" t="str">
        <f>_xlfn.XLOOKUP(tbl_cleaning[[#This Row],[Scheme/Estate]],[1]!tbl_survey[Scheme Name],[1]!tbl_survey[Internal],"Not rated")</f>
        <v>Not rated</v>
      </c>
      <c r="C283" s="403" t="e">
        <f t="array" ref="C283">IF(DATEVALUE([1]!tbl_survey[Date of inspection])&gt;DATEVALUE(B279),_xlfn.XLOOKUP(tbl_cleaning[[#This Row],[Scheme/Estate]],[1]!tbl_survey[Scheme Name],[1]!tbl_survey[Internal],"Not rated"),"Not rated")</f>
        <v>#VALUE!</v>
      </c>
      <c r="D283" s="432" t="s">
        <v>1364</v>
      </c>
      <c r="E283" s="154" t="s">
        <v>60</v>
      </c>
    </row>
    <row r="284" spans="1:5" ht="15" customHeight="1" x14ac:dyDescent="0.25">
      <c r="A284" s="484" t="s">
        <v>1315</v>
      </c>
      <c r="B284" s="403" t="str">
        <f>_xlfn.XLOOKUP(tbl_cleaning[[#This Row],[Scheme/Estate]],[1]!tbl_survey[Scheme Name],[1]!tbl_survey[Internal],"Not rated")</f>
        <v>Not rated</v>
      </c>
      <c r="C284" s="403" t="e">
        <f t="array" ref="C284">IF(DATEVALUE([1]!tbl_survey[Date of inspection])&gt;DATEVALUE(B280),_xlfn.XLOOKUP(tbl_cleaning[[#This Row],[Scheme/Estate]],[1]!tbl_survey[Scheme Name],[1]!tbl_survey[Internal],"Not rated"),"Not rated")</f>
        <v>#VALUE!</v>
      </c>
      <c r="D284" s="432" t="s">
        <v>1369</v>
      </c>
      <c r="E284" s="449" t="s">
        <v>58</v>
      </c>
    </row>
    <row r="285" spans="1:5" ht="15" customHeight="1" x14ac:dyDescent="0.25">
      <c r="A285" s="395" t="s">
        <v>466</v>
      </c>
      <c r="B285" s="403" t="str">
        <f>_xlfn.XLOOKUP(tbl_cleaning[[#This Row],[Scheme/Estate]],[1]!tbl_survey[Scheme Name],[1]!tbl_survey[Internal],"Not rated")</f>
        <v>Not rated</v>
      </c>
      <c r="C285" s="403" t="e">
        <f t="array" ref="C285">IF(DATEVALUE([1]!tbl_survey[Date of inspection])&gt;DATEVALUE(B281),_xlfn.XLOOKUP(tbl_cleaning[[#This Row],[Scheme/Estate]],[1]!tbl_survey[Scheme Name],[1]!tbl_survey[Internal],"Not rated"),"Not rated")</f>
        <v>#VALUE!</v>
      </c>
      <c r="D285" s="432" t="s">
        <v>1383</v>
      </c>
      <c r="E285" s="154" t="s">
        <v>87</v>
      </c>
    </row>
    <row r="286" spans="1:5" ht="15" customHeight="1" x14ac:dyDescent="0.25">
      <c r="A286" s="463" t="s">
        <v>467</v>
      </c>
      <c r="B286" s="403" t="str">
        <f>_xlfn.XLOOKUP(tbl_cleaning[[#This Row],[Scheme/Estate]],[1]!tbl_survey[Scheme Name],[1]!tbl_survey[Internal],"Not rated")</f>
        <v>Not rated</v>
      </c>
      <c r="C286" s="403" t="e">
        <f t="array" ref="C286">IF(DATEVALUE([1]!tbl_survey[Date of inspection])&gt;DATEVALUE(B282),_xlfn.XLOOKUP(tbl_cleaning[[#This Row],[Scheme/Estate]],[1]!tbl_survey[Scheme Name],[1]!tbl_survey[Internal],"Not rated"),"Not rated")</f>
        <v>#VALUE!</v>
      </c>
      <c r="D286" s="432" t="s">
        <v>1379</v>
      </c>
      <c r="E286" s="154" t="s">
        <v>58</v>
      </c>
    </row>
    <row r="287" spans="1:5" ht="15" customHeight="1" x14ac:dyDescent="0.25">
      <c r="A287" s="465" t="s">
        <v>468</v>
      </c>
      <c r="B287" s="403" t="str">
        <f>_xlfn.XLOOKUP(tbl_cleaning[[#This Row],[Scheme/Estate]],[1]!tbl_survey[Scheme Name],[1]!tbl_survey[Internal],"Not rated")</f>
        <v>Not rated</v>
      </c>
      <c r="C287" s="403" t="e">
        <f t="array" ref="C287">IF(DATEVALUE([1]!tbl_survey[Date of inspection])&gt;DATEVALUE(B283),_xlfn.XLOOKUP(tbl_cleaning[[#This Row],[Scheme/Estate]],[1]!tbl_survey[Scheme Name],[1]!tbl_survey[Internal],"Not rated"),"Not rated")</f>
        <v>#VALUE!</v>
      </c>
      <c r="D287" s="432" t="s">
        <v>1368</v>
      </c>
      <c r="E287" s="154" t="s">
        <v>60</v>
      </c>
    </row>
    <row r="288" spans="1:5" ht="15" customHeight="1" x14ac:dyDescent="0.25">
      <c r="A288" s="471" t="s">
        <v>469</v>
      </c>
      <c r="B288" s="403" t="str">
        <f>_xlfn.XLOOKUP(tbl_cleaning[[#This Row],[Scheme/Estate]],[1]!tbl_survey[Scheme Name],[1]!tbl_survey[Internal],"Not rated")</f>
        <v>Not rated</v>
      </c>
      <c r="C288" s="403" t="e">
        <f t="array" ref="C288">IF(DATEVALUE([1]!tbl_survey[Date of inspection])&gt;DATEVALUE(B284),_xlfn.XLOOKUP(tbl_cleaning[[#This Row],[Scheme/Estate]],[1]!tbl_survey[Scheme Name],[1]!tbl_survey[Internal],"Not rated"),"Not rated")</f>
        <v>#VALUE!</v>
      </c>
      <c r="D288" s="432" t="s">
        <v>1365</v>
      </c>
      <c r="E288" s="443" t="s">
        <v>87</v>
      </c>
    </row>
    <row r="289" spans="1:5" ht="15" customHeight="1" x14ac:dyDescent="0.25">
      <c r="A289" s="468" t="s">
        <v>471</v>
      </c>
      <c r="B289" s="403" t="str">
        <f>_xlfn.XLOOKUP(tbl_cleaning[[#This Row],[Scheme/Estate]],[1]!tbl_survey[Scheme Name],[1]!tbl_survey[Internal],"Not rated")</f>
        <v>Not rated</v>
      </c>
      <c r="C289" s="403" t="e">
        <f t="array" ref="C289">IF(DATEVALUE([1]!tbl_survey[Date of inspection])&gt;DATEVALUE(B285),_xlfn.XLOOKUP(tbl_cleaning[[#This Row],[Scheme/Estate]],[1]!tbl_survey[Scheme Name],[1]!tbl_survey[Internal],"Not rated"),"Not rated")</f>
        <v>#VALUE!</v>
      </c>
      <c r="D289" s="432" t="s">
        <v>1382</v>
      </c>
      <c r="E289" s="154" t="s">
        <v>93</v>
      </c>
    </row>
    <row r="290" spans="1:5" ht="15" customHeight="1" x14ac:dyDescent="0.25">
      <c r="A290" s="462" t="s">
        <v>472</v>
      </c>
      <c r="B290" s="403" t="str">
        <f>_xlfn.XLOOKUP(tbl_cleaning[[#This Row],[Scheme/Estate]],[1]!tbl_survey[Scheme Name],[1]!tbl_survey[Internal],"Not rated")</f>
        <v>Not rated</v>
      </c>
      <c r="C290" s="403" t="e">
        <f t="array" ref="C290">IF(DATEVALUE([1]!tbl_survey[Date of inspection])&gt;DATEVALUE(B286),_xlfn.XLOOKUP(tbl_cleaning[[#This Row],[Scheme/Estate]],[1]!tbl_survey[Scheme Name],[1]!tbl_survey[Internal],"Not rated"),"Not rated")</f>
        <v>#VALUE!</v>
      </c>
      <c r="D290" s="432" t="s">
        <v>1381</v>
      </c>
      <c r="E290" s="449" t="s">
        <v>60</v>
      </c>
    </row>
    <row r="291" spans="1:5" ht="15" customHeight="1" x14ac:dyDescent="0.25">
      <c r="A291" s="483" t="s">
        <v>473</v>
      </c>
      <c r="B291" s="403" t="str">
        <f>_xlfn.XLOOKUP(tbl_cleaning[[#This Row],[Scheme/Estate]],[1]!tbl_survey[Scheme Name],[1]!tbl_survey[Internal],"Not rated")</f>
        <v>Not rated</v>
      </c>
      <c r="C291" s="403" t="e">
        <f t="array" ref="C291">IF(DATEVALUE([1]!tbl_survey[Date of inspection])&gt;DATEVALUE(B287),_xlfn.XLOOKUP(tbl_cleaning[[#This Row],[Scheme/Estate]],[1]!tbl_survey[Scheme Name],[1]!tbl_survey[Internal],"Not rated"),"Not rated")</f>
        <v>#VALUE!</v>
      </c>
      <c r="D291" s="432" t="s">
        <v>1376</v>
      </c>
      <c r="E291" s="154" t="s">
        <v>60</v>
      </c>
    </row>
    <row r="292" spans="1:5" ht="15" customHeight="1" x14ac:dyDescent="0.25">
      <c r="A292" s="464" t="s">
        <v>475</v>
      </c>
      <c r="B292" s="403" t="str">
        <f>_xlfn.XLOOKUP(tbl_cleaning[[#This Row],[Scheme/Estate]],[1]!tbl_survey[Scheme Name],[1]!tbl_survey[Internal],"Not rated")</f>
        <v>Not rated</v>
      </c>
      <c r="C292" s="403" t="e">
        <f t="array" ref="C292">IF(DATEVALUE([1]!tbl_survey[Date of inspection])&gt;DATEVALUE(B288),_xlfn.XLOOKUP(tbl_cleaning[[#This Row],[Scheme/Estate]],[1]!tbl_survey[Scheme Name],[1]!tbl_survey[Internal],"Not rated"),"Not rated")</f>
        <v>#VALUE!</v>
      </c>
      <c r="D292" s="432" t="s">
        <v>1377</v>
      </c>
      <c r="E292" s="154" t="s">
        <v>93</v>
      </c>
    </row>
    <row r="293" spans="1:5" ht="15" customHeight="1" x14ac:dyDescent="0.25">
      <c r="A293" s="463" t="s">
        <v>476</v>
      </c>
      <c r="B293" s="403" t="str">
        <f>_xlfn.XLOOKUP(tbl_cleaning[[#This Row],[Scheme/Estate]],[1]!tbl_survey[Scheme Name],[1]!tbl_survey[Internal],"Not rated")</f>
        <v>Not rated</v>
      </c>
      <c r="C293" s="403" t="e">
        <f t="array" ref="C293">IF(DATEVALUE([1]!tbl_survey[Date of inspection])&gt;DATEVALUE(B289),_xlfn.XLOOKUP(tbl_cleaning[[#This Row],[Scheme/Estate]],[1]!tbl_survey[Scheme Name],[1]!tbl_survey[Internal],"Not rated"),"Not rated")</f>
        <v>#VALUE!</v>
      </c>
      <c r="D293" s="432" t="s">
        <v>1379</v>
      </c>
      <c r="E293" s="154" t="s">
        <v>58</v>
      </c>
    </row>
    <row r="294" spans="1:5" ht="15" customHeight="1" x14ac:dyDescent="0.25">
      <c r="A294" s="462" t="s">
        <v>477</v>
      </c>
      <c r="B294" s="403" t="str">
        <f>_xlfn.XLOOKUP(tbl_cleaning[[#This Row],[Scheme/Estate]],[1]!tbl_survey[Scheme Name],[1]!tbl_survey[Internal],"Not rated")</f>
        <v>Not rated</v>
      </c>
      <c r="C294" s="403" t="e">
        <f t="array" ref="C294">IF(DATEVALUE([1]!tbl_survey[Date of inspection])&gt;DATEVALUE(B290),_xlfn.XLOOKUP(tbl_cleaning[[#This Row],[Scheme/Estate]],[1]!tbl_survey[Scheme Name],[1]!tbl_survey[Internal],"Not rated"),"Not rated")</f>
        <v>#VALUE!</v>
      </c>
      <c r="D294" s="432" t="s">
        <v>1365</v>
      </c>
      <c r="E294" s="443" t="s">
        <v>87</v>
      </c>
    </row>
    <row r="295" spans="1:5" ht="15" customHeight="1" x14ac:dyDescent="0.25">
      <c r="A295" s="462" t="s">
        <v>478</v>
      </c>
      <c r="B295" s="403" t="str">
        <f>_xlfn.XLOOKUP(tbl_cleaning[[#This Row],[Scheme/Estate]],[1]!tbl_survey[Scheme Name],[1]!tbl_survey[Internal],"Not rated")</f>
        <v>Not rated</v>
      </c>
      <c r="C295" s="403" t="e">
        <f t="array" ref="C295">IF(DATEVALUE([1]!tbl_survey[Date of inspection])&gt;DATEVALUE(B291),_xlfn.XLOOKUP(tbl_cleaning[[#This Row],[Scheme/Estate]],[1]!tbl_survey[Scheme Name],[1]!tbl_survey[Internal],"Not rated"),"Not rated")</f>
        <v>#VALUE!</v>
      </c>
      <c r="D295" s="432" t="s">
        <v>1365</v>
      </c>
      <c r="E295" s="443" t="s">
        <v>87</v>
      </c>
    </row>
    <row r="296" spans="1:5" ht="15" customHeight="1" x14ac:dyDescent="0.25">
      <c r="A296" s="462" t="s">
        <v>1423</v>
      </c>
      <c r="B296" s="403" t="str">
        <f>_xlfn.XLOOKUP(tbl_cleaning[[#This Row],[Scheme/Estate]],[1]!tbl_survey[Scheme Name],[1]!tbl_survey[Internal],"Not rated")</f>
        <v>Not rated</v>
      </c>
      <c r="C296" s="403" t="e">
        <f t="array" ref="C296">IF(DATEVALUE([1]!tbl_survey[Date of inspection])&gt;DATEVALUE(B292),_xlfn.XLOOKUP(tbl_cleaning[[#This Row],[Scheme/Estate]],[1]!tbl_survey[Scheme Name],[1]!tbl_survey[Internal],"Not rated"),"Not rated")</f>
        <v>#VALUE!</v>
      </c>
      <c r="D296" s="432" t="s">
        <v>1383</v>
      </c>
      <c r="E296" s="451" t="s">
        <v>87</v>
      </c>
    </row>
    <row r="297" spans="1:5" ht="15" customHeight="1" x14ac:dyDescent="0.25">
      <c r="A297" s="467" t="s">
        <v>480</v>
      </c>
      <c r="B297" s="403" t="str">
        <f>_xlfn.XLOOKUP(tbl_cleaning[[#This Row],[Scheme/Estate]],[1]!tbl_survey[Scheme Name],[1]!tbl_survey[Internal],"Not rated")</f>
        <v>Not rated</v>
      </c>
      <c r="C297" s="403" t="e">
        <f t="array" ref="C297">IF(DATEVALUE([1]!tbl_survey[Date of inspection])&gt;DATEVALUE(B293),_xlfn.XLOOKUP(tbl_cleaning[[#This Row],[Scheme/Estate]],[1]!tbl_survey[Scheme Name],[1]!tbl_survey[Internal],"Not rated"),"Not rated")</f>
        <v>#VALUE!</v>
      </c>
      <c r="D297" s="432" t="s">
        <v>1376</v>
      </c>
      <c r="E297" s="154" t="s">
        <v>60</v>
      </c>
    </row>
    <row r="298" spans="1:5" ht="15" customHeight="1" x14ac:dyDescent="0.25">
      <c r="A298" s="463" t="s">
        <v>482</v>
      </c>
      <c r="B298" s="403">
        <f>_xlfn.XLOOKUP(tbl_cleaning[[#This Row],[Scheme/Estate]],[1]!tbl_survey[Scheme Name],[1]!tbl_survey[Internal],"Not rated")</f>
        <v>4</v>
      </c>
      <c r="C298" s="403" t="e">
        <f t="array" ref="C298">IF(DATEVALUE([1]!tbl_survey[Date of inspection])&gt;DATEVALUE(B294),_xlfn.XLOOKUP(tbl_cleaning[[#This Row],[Scheme/Estate]],[1]!tbl_survey[Scheme Name],[1]!tbl_survey[Internal],"Not rated"),"Not rated")</f>
        <v>#VALUE!</v>
      </c>
      <c r="D298" s="432" t="s">
        <v>1370</v>
      </c>
      <c r="E298" s="450" t="s">
        <v>93</v>
      </c>
    </row>
    <row r="299" spans="1:5" ht="15" customHeight="1" x14ac:dyDescent="0.25">
      <c r="A299" s="462" t="s">
        <v>483</v>
      </c>
      <c r="B299" s="403" t="str">
        <f>_xlfn.XLOOKUP(tbl_cleaning[[#This Row],[Scheme/Estate]],[1]!tbl_survey[Scheme Name],[1]!tbl_survey[Internal],"Not rated")</f>
        <v>Not rated</v>
      </c>
      <c r="C299" s="403" t="e">
        <f t="array" ref="C299">IF(DATEVALUE([1]!tbl_survey[Date of inspection])&gt;DATEVALUE(B295),_xlfn.XLOOKUP(tbl_cleaning[[#This Row],[Scheme/Estate]],[1]!tbl_survey[Scheme Name],[1]!tbl_survey[Internal],"Not rated"),"Not rated")</f>
        <v>#VALUE!</v>
      </c>
      <c r="D299" s="432" t="s">
        <v>1368</v>
      </c>
      <c r="E299" s="446" t="s">
        <v>60</v>
      </c>
    </row>
    <row r="300" spans="1:5" ht="15" customHeight="1" x14ac:dyDescent="0.25">
      <c r="A300" s="463" t="s">
        <v>484</v>
      </c>
      <c r="B300" s="403" t="str">
        <f>_xlfn.XLOOKUP(tbl_cleaning[[#This Row],[Scheme/Estate]],[1]!tbl_survey[Scheme Name],[1]!tbl_survey[Internal],"Not rated")</f>
        <v>Not rated</v>
      </c>
      <c r="C300" s="403" t="e">
        <f t="array" ref="C300">IF(DATEVALUE([1]!tbl_survey[Date of inspection])&gt;DATEVALUE(B296),_xlfn.XLOOKUP(tbl_cleaning[[#This Row],[Scheme/Estate]],[1]!tbl_survey[Scheme Name],[1]!tbl_survey[Internal],"Not rated"),"Not rated")</f>
        <v>#VALUE!</v>
      </c>
      <c r="D300" s="432" t="s">
        <v>1370</v>
      </c>
      <c r="E300" s="154" t="s">
        <v>93</v>
      </c>
    </row>
    <row r="301" spans="1:5" ht="15" customHeight="1" x14ac:dyDescent="0.25">
      <c r="A301" s="485" t="s">
        <v>1335</v>
      </c>
      <c r="B301" s="403" t="str">
        <f>_xlfn.XLOOKUP(tbl_cleaning[[#This Row],[Scheme/Estate]],[1]!tbl_survey[Scheme Name],[1]!tbl_survey[Internal],"Not rated")</f>
        <v>Not rated</v>
      </c>
      <c r="C301" s="403" t="e">
        <f t="array" ref="C301">IF(DATEVALUE([1]!tbl_survey[Date of inspection])&gt;DATEVALUE(B297),_xlfn.XLOOKUP(tbl_cleaning[[#This Row],[Scheme/Estate]],[1]!tbl_survey[Scheme Name],[1]!tbl_survey[Internal],"Not rated"),"Not rated")</f>
        <v>#VALUE!</v>
      </c>
      <c r="D301" s="432" t="s">
        <v>1375</v>
      </c>
      <c r="E301" s="154" t="s">
        <v>60</v>
      </c>
    </row>
    <row r="302" spans="1:5" ht="15" customHeight="1" x14ac:dyDescent="0.25">
      <c r="A302" s="391" t="s">
        <v>486</v>
      </c>
      <c r="B302" s="403" t="str">
        <f>_xlfn.XLOOKUP(tbl_cleaning[[#This Row],[Scheme/Estate]],[1]!tbl_survey[Scheme Name],[1]!tbl_survey[Internal],"Not rated")</f>
        <v>Not rated</v>
      </c>
      <c r="C302" s="403" t="e">
        <f t="array" ref="C302">IF(DATEVALUE([1]!tbl_survey[Date of inspection])&gt;DATEVALUE(B298),_xlfn.XLOOKUP(tbl_cleaning[[#This Row],[Scheme/Estate]],[1]!tbl_survey[Scheme Name],[1]!tbl_survey[Internal],"Not rated"),"Not rated")</f>
        <v>#VALUE!</v>
      </c>
      <c r="D302" s="432" t="s">
        <v>1363</v>
      </c>
      <c r="E302" s="154" t="s">
        <v>58</v>
      </c>
    </row>
    <row r="303" spans="1:5" ht="15" customHeight="1" x14ac:dyDescent="0.25">
      <c r="A303" s="464" t="s">
        <v>488</v>
      </c>
      <c r="B303" s="403" t="str">
        <f>_xlfn.XLOOKUP(tbl_cleaning[[#This Row],[Scheme/Estate]],[1]!tbl_survey[Scheme Name],[1]!tbl_survey[Internal],"Not rated")</f>
        <v>Not rated</v>
      </c>
      <c r="C303" s="403" t="e">
        <f t="array" ref="C303">IF(DATEVALUE([1]!tbl_survey[Date of inspection])&gt;DATEVALUE(B299),_xlfn.XLOOKUP(tbl_cleaning[[#This Row],[Scheme/Estate]],[1]!tbl_survey[Scheme Name],[1]!tbl_survey[Internal],"Not rated"),"Not rated")</f>
        <v>#VALUE!</v>
      </c>
      <c r="D303" s="432" t="s">
        <v>1376</v>
      </c>
      <c r="E303" s="154" t="s">
        <v>60</v>
      </c>
    </row>
    <row r="304" spans="1:5" ht="15" customHeight="1" x14ac:dyDescent="0.25">
      <c r="A304" s="486" t="s">
        <v>489</v>
      </c>
      <c r="B304" s="403" t="str">
        <f>_xlfn.XLOOKUP(tbl_cleaning[[#This Row],[Scheme/Estate]],[1]!tbl_survey[Scheme Name],[1]!tbl_survey[Internal],"Not rated")</f>
        <v>Not rated</v>
      </c>
      <c r="C304" s="403" t="e">
        <f t="array" ref="C304">IF(DATEVALUE([1]!tbl_survey[Date of inspection])&gt;DATEVALUE(B300),_xlfn.XLOOKUP(tbl_cleaning[[#This Row],[Scheme/Estate]],[1]!tbl_survey[Scheme Name],[1]!tbl_survey[Internal],"Not rated"),"Not rated")</f>
        <v>#VALUE!</v>
      </c>
      <c r="D304" s="432" t="s">
        <v>1377</v>
      </c>
      <c r="E304" s="154" t="s">
        <v>93</v>
      </c>
    </row>
    <row r="305" spans="1:5" ht="15" customHeight="1" x14ac:dyDescent="0.25">
      <c r="A305" s="462" t="s">
        <v>491</v>
      </c>
      <c r="B305" s="403" t="str">
        <f>_xlfn.XLOOKUP(tbl_cleaning[[#This Row],[Scheme/Estate]],[1]!tbl_survey[Scheme Name],[1]!tbl_survey[Internal],"Not rated")</f>
        <v>Not rated</v>
      </c>
      <c r="C305" s="403" t="e">
        <f t="array" ref="C305">IF(DATEVALUE([1]!tbl_survey[Date of inspection])&gt;DATEVALUE(B301),_xlfn.XLOOKUP(tbl_cleaning[[#This Row],[Scheme/Estate]],[1]!tbl_survey[Scheme Name],[1]!tbl_survey[Internal],"Not rated"),"Not rated")</f>
        <v>#VALUE!</v>
      </c>
      <c r="D305" s="432" t="s">
        <v>1372</v>
      </c>
      <c r="E305" s="154" t="s">
        <v>60</v>
      </c>
    </row>
    <row r="306" spans="1:5" ht="15" customHeight="1" x14ac:dyDescent="0.25">
      <c r="A306" s="462" t="s">
        <v>493</v>
      </c>
      <c r="B306" s="403" t="str">
        <f>_xlfn.XLOOKUP(tbl_cleaning[[#This Row],[Scheme/Estate]],[1]!tbl_survey[Scheme Name],[1]!tbl_survey[Internal],"Not rated")</f>
        <v>Not rated</v>
      </c>
      <c r="C306" s="403" t="e">
        <f t="array" ref="C306">IF(DATEVALUE([1]!tbl_survey[Date of inspection])&gt;DATEVALUE(B302),_xlfn.XLOOKUP(tbl_cleaning[[#This Row],[Scheme/Estate]],[1]!tbl_survey[Scheme Name],[1]!tbl_survey[Internal],"Not rated"),"Not rated")</f>
        <v>#VALUE!</v>
      </c>
      <c r="D306" s="432" t="s">
        <v>1373</v>
      </c>
      <c r="E306" s="154" t="s">
        <v>58</v>
      </c>
    </row>
    <row r="307" spans="1:5" ht="15" customHeight="1" x14ac:dyDescent="0.25">
      <c r="A307" s="462" t="s">
        <v>494</v>
      </c>
      <c r="B307" s="403" t="str">
        <f>_xlfn.XLOOKUP(tbl_cleaning[[#This Row],[Scheme/Estate]],[1]!tbl_survey[Scheme Name],[1]!tbl_survey[Internal],"Not rated")</f>
        <v>Not rated</v>
      </c>
      <c r="C307" s="403" t="e">
        <f t="array" ref="C307">IF(DATEVALUE([1]!tbl_survey[Date of inspection])&gt;DATEVALUE(B303),_xlfn.XLOOKUP(tbl_cleaning[[#This Row],[Scheme/Estate]],[1]!tbl_survey[Scheme Name],[1]!tbl_survey[Internal],"Not rated"),"Not rated")</f>
        <v>#VALUE!</v>
      </c>
      <c r="D307" s="432" t="s">
        <v>1383</v>
      </c>
      <c r="E307" s="154" t="s">
        <v>87</v>
      </c>
    </row>
    <row r="308" spans="1:5" ht="15" customHeight="1" x14ac:dyDescent="0.25">
      <c r="A308" s="463" t="s">
        <v>495</v>
      </c>
      <c r="B308" s="403" t="str">
        <f>_xlfn.XLOOKUP(tbl_cleaning[[#This Row],[Scheme/Estate]],[1]!tbl_survey[Scheme Name],[1]!tbl_survey[Internal],"Not rated")</f>
        <v>Not rated</v>
      </c>
      <c r="C308" s="403" t="e">
        <f t="array" ref="C308">IF(DATEVALUE([1]!tbl_survey[Date of inspection])&gt;DATEVALUE(B304),_xlfn.XLOOKUP(tbl_cleaning[[#This Row],[Scheme/Estate]],[1]!tbl_survey[Scheme Name],[1]!tbl_survey[Internal],"Not rated"),"Not rated")</f>
        <v>#VALUE!</v>
      </c>
      <c r="D308" s="432" t="s">
        <v>1377</v>
      </c>
      <c r="E308" s="154" t="s">
        <v>93</v>
      </c>
    </row>
    <row r="309" spans="1:5" ht="15" customHeight="1" x14ac:dyDescent="0.25">
      <c r="A309" s="462" t="s">
        <v>497</v>
      </c>
      <c r="B309" s="403" t="str">
        <f>_xlfn.XLOOKUP(tbl_cleaning[[#This Row],[Scheme/Estate]],[1]!tbl_survey[Scheme Name],[1]!tbl_survey[Internal],"Not rated")</f>
        <v>Not rated</v>
      </c>
      <c r="C309" s="403" t="e">
        <f t="array" ref="C309">IF(DATEVALUE([1]!tbl_survey[Date of inspection])&gt;DATEVALUE(B305),_xlfn.XLOOKUP(tbl_cleaning[[#This Row],[Scheme/Estate]],[1]!tbl_survey[Scheme Name],[1]!tbl_survey[Internal],"Not rated"),"Not rated")</f>
        <v>#VALUE!</v>
      </c>
      <c r="D309" s="432" t="s">
        <v>1378</v>
      </c>
      <c r="E309" s="443" t="s">
        <v>87</v>
      </c>
    </row>
    <row r="310" spans="1:5" ht="15" customHeight="1" x14ac:dyDescent="0.25">
      <c r="A310" s="462" t="s">
        <v>500</v>
      </c>
      <c r="B310" s="403" t="str">
        <f>_xlfn.XLOOKUP(tbl_cleaning[[#This Row],[Scheme/Estate]],[1]!tbl_survey[Scheme Name],[1]!tbl_survey[Internal],"Not rated")</f>
        <v>Not rated</v>
      </c>
      <c r="C310" s="403" t="e">
        <f t="array" ref="C310">IF(DATEVALUE([1]!tbl_survey[Date of inspection])&gt;DATEVALUE(B306),_xlfn.XLOOKUP(tbl_cleaning[[#This Row],[Scheme/Estate]],[1]!tbl_survey[Scheme Name],[1]!tbl_survey[Internal],"Not rated"),"Not rated")</f>
        <v>#VALUE!</v>
      </c>
      <c r="D310" s="432" t="s">
        <v>1378</v>
      </c>
      <c r="E310" s="443" t="s">
        <v>87</v>
      </c>
    </row>
    <row r="311" spans="1:5" ht="15" customHeight="1" x14ac:dyDescent="0.25">
      <c r="A311" s="462" t="s">
        <v>1336</v>
      </c>
      <c r="B311" s="403" t="str">
        <f>_xlfn.XLOOKUP(tbl_cleaning[[#This Row],[Scheme/Estate]],[1]!tbl_survey[Scheme Name],[1]!tbl_survey[Internal],"Not rated")</f>
        <v>Not rated</v>
      </c>
      <c r="C311" s="403" t="e">
        <f t="array" ref="C311">IF(DATEVALUE([1]!tbl_survey[Date of inspection])&gt;DATEVALUE(B307),_xlfn.XLOOKUP(tbl_cleaning[[#This Row],[Scheme/Estate]],[1]!tbl_survey[Scheme Name],[1]!tbl_survey[Internal],"Not rated"),"Not rated")</f>
        <v>#VALUE!</v>
      </c>
      <c r="D311" s="432" t="s">
        <v>1383</v>
      </c>
      <c r="E311" s="443" t="s">
        <v>87</v>
      </c>
    </row>
    <row r="312" spans="1:5" ht="15" customHeight="1" x14ac:dyDescent="0.25">
      <c r="A312" s="462" t="s">
        <v>502</v>
      </c>
      <c r="B312" s="403" t="str">
        <f>_xlfn.XLOOKUP(tbl_cleaning[[#This Row],[Scheme/Estate]],[1]!tbl_survey[Scheme Name],[1]!tbl_survey[Internal],"Not rated")</f>
        <v>Not rated</v>
      </c>
      <c r="C312" s="403" t="e">
        <f t="array" ref="C312">IF(DATEVALUE([1]!tbl_survey[Date of inspection])&gt;DATEVALUE(B308),_xlfn.XLOOKUP(tbl_cleaning[[#This Row],[Scheme/Estate]],[1]!tbl_survey[Scheme Name],[1]!tbl_survey[Internal],"Not rated"),"Not rated")</f>
        <v>#VALUE!</v>
      </c>
      <c r="D312" s="432" t="s">
        <v>1378</v>
      </c>
      <c r="E312" s="453" t="s">
        <v>87</v>
      </c>
    </row>
    <row r="313" spans="1:5" ht="15" customHeight="1" x14ac:dyDescent="0.25">
      <c r="A313" s="462" t="s">
        <v>503</v>
      </c>
      <c r="B313" s="403" t="str">
        <f>_xlfn.XLOOKUP(tbl_cleaning[[#This Row],[Scheme/Estate]],[1]!tbl_survey[Scheme Name],[1]!tbl_survey[Internal],"Not rated")</f>
        <v>Not rated</v>
      </c>
      <c r="C313" s="403" t="e">
        <f t="array" ref="C313">IF(DATEVALUE([1]!tbl_survey[Date of inspection])&gt;DATEVALUE(B309),_xlfn.XLOOKUP(tbl_cleaning[[#This Row],[Scheme/Estate]],[1]!tbl_survey[Scheme Name],[1]!tbl_survey[Internal],"Not rated"),"Not rated")</f>
        <v>#VALUE!</v>
      </c>
      <c r="D313" s="432" t="s">
        <v>1378</v>
      </c>
      <c r="E313" s="448" t="s">
        <v>87</v>
      </c>
    </row>
    <row r="314" spans="1:5" ht="15" customHeight="1" x14ac:dyDescent="0.25">
      <c r="A314" s="467" t="s">
        <v>504</v>
      </c>
      <c r="B314" s="403" t="str">
        <f>_xlfn.XLOOKUP(tbl_cleaning[[#This Row],[Scheme/Estate]],[1]!tbl_survey[Scheme Name],[1]!tbl_survey[Internal],"Not rated")</f>
        <v>Not rated</v>
      </c>
      <c r="C314" s="403" t="e">
        <f t="array" ref="C314">IF(DATEVALUE([1]!tbl_survey[Date of inspection])&gt;DATEVALUE(B310),_xlfn.XLOOKUP(tbl_cleaning[[#This Row],[Scheme/Estate]],[1]!tbl_survey[Scheme Name],[1]!tbl_survey[Internal],"Not rated"),"Not rated")</f>
        <v>#VALUE!</v>
      </c>
      <c r="D314" s="432" t="s">
        <v>1381</v>
      </c>
      <c r="E314" s="452" t="s">
        <v>60</v>
      </c>
    </row>
    <row r="315" spans="1:5" ht="15" customHeight="1" x14ac:dyDescent="0.25">
      <c r="A315" s="462" t="s">
        <v>505</v>
      </c>
      <c r="B315" s="403" t="str">
        <f>_xlfn.XLOOKUP(tbl_cleaning[[#This Row],[Scheme/Estate]],[1]!tbl_survey[Scheme Name],[1]!tbl_survey[Internal],"Not rated")</f>
        <v>Not rated</v>
      </c>
      <c r="C315" s="403" t="e">
        <f t="array" ref="C315">IF(DATEVALUE([1]!tbl_survey[Date of inspection])&gt;DATEVALUE(B311),_xlfn.XLOOKUP(tbl_cleaning[[#This Row],[Scheme/Estate]],[1]!tbl_survey[Scheme Name],[1]!tbl_survey[Internal],"Not rated"),"Not rated")</f>
        <v>#VALUE!</v>
      </c>
      <c r="D315" s="432" t="s">
        <v>1368</v>
      </c>
      <c r="E315" s="154" t="s">
        <v>60</v>
      </c>
    </row>
    <row r="316" spans="1:5" ht="15" customHeight="1" x14ac:dyDescent="0.25">
      <c r="A316" s="463" t="s">
        <v>506</v>
      </c>
      <c r="B316" s="403" t="str">
        <f>_xlfn.XLOOKUP(tbl_cleaning[[#This Row],[Scheme/Estate]],[1]!tbl_survey[Scheme Name],[1]!tbl_survey[Internal],"Not rated")</f>
        <v>Not rated</v>
      </c>
      <c r="C316" s="403" t="e">
        <f t="array" ref="C316">IF(DATEVALUE([1]!tbl_survey[Date of inspection])&gt;DATEVALUE(B312),_xlfn.XLOOKUP(tbl_cleaning[[#This Row],[Scheme/Estate]],[1]!tbl_survey[Scheme Name],[1]!tbl_survey[Internal],"Not rated"),"Not rated")</f>
        <v>#VALUE!</v>
      </c>
      <c r="D316" s="432" t="s">
        <v>1371</v>
      </c>
      <c r="E316" s="154" t="s">
        <v>58</v>
      </c>
    </row>
    <row r="317" spans="1:5" ht="15" customHeight="1" x14ac:dyDescent="0.25">
      <c r="A317" s="462" t="s">
        <v>507</v>
      </c>
      <c r="B317" s="403">
        <f>_xlfn.XLOOKUP(tbl_cleaning[[#This Row],[Scheme/Estate]],[1]!tbl_survey[Scheme Name],[1]!tbl_survey[Internal],"Not rated")</f>
        <v>3</v>
      </c>
      <c r="C317" s="403" t="e">
        <f t="array" ref="C317">IF(DATEVALUE([1]!tbl_survey[Date of inspection])&gt;DATEVALUE(B313),_xlfn.XLOOKUP(tbl_cleaning[[#This Row],[Scheme/Estate]],[1]!tbl_survey[Scheme Name],[1]!tbl_survey[Internal],"Not rated"),"Not rated")</f>
        <v>#VALUE!</v>
      </c>
      <c r="D317" s="432" t="s">
        <v>1372</v>
      </c>
      <c r="E317" s="154" t="s">
        <v>60</v>
      </c>
    </row>
    <row r="318" spans="1:5" ht="15" customHeight="1" x14ac:dyDescent="0.25">
      <c r="A318" s="391" t="s">
        <v>509</v>
      </c>
      <c r="B318" s="403" t="str">
        <f>_xlfn.XLOOKUP(tbl_cleaning[[#This Row],[Scheme/Estate]],[1]!tbl_survey[Scheme Name],[1]!tbl_survey[Internal],"Not rated")</f>
        <v>Not rated</v>
      </c>
      <c r="C318" s="403" t="e">
        <f t="array" ref="C318">IF(DATEVALUE([1]!tbl_survey[Date of inspection])&gt;DATEVALUE(B314),_xlfn.XLOOKUP(tbl_cleaning[[#This Row],[Scheme/Estate]],[1]!tbl_survey[Scheme Name],[1]!tbl_survey[Internal],"Not rated"),"Not rated")</f>
        <v>#VALUE!</v>
      </c>
      <c r="D318" s="432" t="s">
        <v>1371</v>
      </c>
      <c r="E318" s="154" t="s">
        <v>58</v>
      </c>
    </row>
    <row r="319" spans="1:5" ht="15" customHeight="1" x14ac:dyDescent="0.25">
      <c r="A319" s="465" t="s">
        <v>1414</v>
      </c>
      <c r="B319" s="403" t="str">
        <f>_xlfn.XLOOKUP(tbl_cleaning[[#This Row],[Scheme/Estate]],[1]!tbl_survey[Scheme Name],[1]!tbl_survey[Internal],"Not rated")</f>
        <v>Not rated</v>
      </c>
      <c r="C319" s="403" t="e">
        <f t="array" ref="C319">IF(DATEVALUE([1]!tbl_survey[Date of inspection])&gt;DATEVALUE(B315),_xlfn.XLOOKUP(tbl_cleaning[[#This Row],[Scheme/Estate]],[1]!tbl_survey[Scheme Name],[1]!tbl_survey[Internal],"Not rated"),"Not rated")</f>
        <v>#VALUE!</v>
      </c>
      <c r="D319" s="432" t="s">
        <v>1375</v>
      </c>
      <c r="E319" s="154" t="s">
        <v>60</v>
      </c>
    </row>
    <row r="320" spans="1:5" ht="15" customHeight="1" x14ac:dyDescent="0.25">
      <c r="A320" s="467" t="s">
        <v>511</v>
      </c>
      <c r="B320" s="403" t="str">
        <f>_xlfn.XLOOKUP(tbl_cleaning[[#This Row],[Scheme/Estate]],[1]!tbl_survey[Scheme Name],[1]!tbl_survey[Internal],"Not rated")</f>
        <v>Not rated</v>
      </c>
      <c r="C320" s="403" t="e">
        <f t="array" ref="C320">IF(DATEVALUE([1]!tbl_survey[Date of inspection])&gt;DATEVALUE(B316),_xlfn.XLOOKUP(tbl_cleaning[[#This Row],[Scheme/Estate]],[1]!tbl_survey[Scheme Name],[1]!tbl_survey[Internal],"Not rated"),"Not rated")</f>
        <v>#VALUE!</v>
      </c>
      <c r="D320" s="432" t="s">
        <v>1375</v>
      </c>
      <c r="E320" s="154" t="s">
        <v>60</v>
      </c>
    </row>
    <row r="321" spans="1:5" ht="15" customHeight="1" x14ac:dyDescent="0.25">
      <c r="A321" s="462" t="s">
        <v>512</v>
      </c>
      <c r="B321" s="403" t="str">
        <f>_xlfn.XLOOKUP(tbl_cleaning[[#This Row],[Scheme/Estate]],[1]!tbl_survey[Scheme Name],[1]!tbl_survey[Internal],"Not rated")</f>
        <v>Not rated</v>
      </c>
      <c r="C321" s="403" t="e">
        <f t="array" ref="C321">IF(DATEVALUE([1]!tbl_survey[Date of inspection])&gt;DATEVALUE(B317),_xlfn.XLOOKUP(tbl_cleaning[[#This Row],[Scheme/Estate]],[1]!tbl_survey[Scheme Name],[1]!tbl_survey[Internal],"Not rated"),"Not rated")</f>
        <v>#VALUE!</v>
      </c>
      <c r="D321" s="432" t="s">
        <v>1375</v>
      </c>
      <c r="E321" s="154" t="s">
        <v>60</v>
      </c>
    </row>
    <row r="322" spans="1:5" ht="15" customHeight="1" x14ac:dyDescent="0.25">
      <c r="A322" s="483" t="s">
        <v>513</v>
      </c>
      <c r="B322" s="403" t="str">
        <f>_xlfn.XLOOKUP(tbl_cleaning[[#This Row],[Scheme/Estate]],[1]!tbl_survey[Scheme Name],[1]!tbl_survey[Internal],"Not rated")</f>
        <v>Not rated</v>
      </c>
      <c r="C322" s="403" t="e">
        <f t="array" ref="C322">IF(DATEVALUE([1]!tbl_survey[Date of inspection])&gt;DATEVALUE(B318),_xlfn.XLOOKUP(tbl_cleaning[[#This Row],[Scheme/Estate]],[1]!tbl_survey[Scheme Name],[1]!tbl_survey[Internal],"Not rated"),"Not rated")</f>
        <v>#VALUE!</v>
      </c>
      <c r="D322" s="432" t="s">
        <v>1372</v>
      </c>
      <c r="E322" s="450" t="s">
        <v>60</v>
      </c>
    </row>
    <row r="323" spans="1:5" ht="15" customHeight="1" x14ac:dyDescent="0.25">
      <c r="A323" s="462" t="s">
        <v>514</v>
      </c>
      <c r="B323" s="403" t="str">
        <f>_xlfn.XLOOKUP(tbl_cleaning[[#This Row],[Scheme/Estate]],[1]!tbl_survey[Scheme Name],[1]!tbl_survey[Internal],"Not rated")</f>
        <v>Not rated</v>
      </c>
      <c r="C323" s="403" t="e">
        <f t="array" ref="C323">IF(DATEVALUE([1]!tbl_survey[Date of inspection])&gt;DATEVALUE(B319),_xlfn.XLOOKUP(tbl_cleaning[[#This Row],[Scheme/Estate]],[1]!tbl_survey[Scheme Name],[1]!tbl_survey[Internal],"Not rated"),"Not rated")</f>
        <v>#VALUE!</v>
      </c>
      <c r="D323" s="432" t="s">
        <v>1378</v>
      </c>
      <c r="E323" s="452" t="s">
        <v>87</v>
      </c>
    </row>
    <row r="324" spans="1:5" ht="15" customHeight="1" x14ac:dyDescent="0.25">
      <c r="A324" s="391" t="s">
        <v>515</v>
      </c>
      <c r="B324" s="403" t="str">
        <f>_xlfn.XLOOKUP(tbl_cleaning[[#This Row],[Scheme/Estate]],[1]!tbl_survey[Scheme Name],[1]!tbl_survey[Internal],"Not rated")</f>
        <v>Not rated</v>
      </c>
      <c r="C324" s="403" t="e">
        <f t="array" ref="C324">IF(DATEVALUE([1]!tbl_survey[Date of inspection])&gt;DATEVALUE(B320),_xlfn.XLOOKUP(tbl_cleaning[[#This Row],[Scheme/Estate]],[1]!tbl_survey[Scheme Name],[1]!tbl_survey[Internal],"Not rated"),"Not rated")</f>
        <v>#VALUE!</v>
      </c>
      <c r="D324" s="432" t="s">
        <v>1376</v>
      </c>
      <c r="E324" s="154" t="s">
        <v>60</v>
      </c>
    </row>
    <row r="325" spans="1:5" ht="15" customHeight="1" x14ac:dyDescent="0.25">
      <c r="A325" s="467" t="s">
        <v>1310</v>
      </c>
      <c r="B325" s="403" t="str">
        <f>_xlfn.XLOOKUP(tbl_cleaning[[#This Row],[Scheme/Estate]],[1]!tbl_survey[Scheme Name],[1]!tbl_survey[Internal],"Not rated")</f>
        <v>Not rated</v>
      </c>
      <c r="C325" s="403" t="e">
        <f t="array" ref="C325">IF(DATEVALUE([1]!tbl_survey[Date of inspection])&gt;DATEVALUE(B321),_xlfn.XLOOKUP(tbl_cleaning[[#This Row],[Scheme/Estate]],[1]!tbl_survey[Scheme Name],[1]!tbl_survey[Internal],"Not rated"),"Not rated")</f>
        <v>#VALUE!</v>
      </c>
      <c r="D325" s="432" t="s">
        <v>1366</v>
      </c>
      <c r="E325" s="450" t="s">
        <v>87</v>
      </c>
    </row>
    <row r="326" spans="1:5" ht="15" customHeight="1" x14ac:dyDescent="0.25">
      <c r="A326" s="462" t="s">
        <v>518</v>
      </c>
      <c r="B326" s="403">
        <f>_xlfn.XLOOKUP(tbl_cleaning[[#This Row],[Scheme/Estate]],[1]!tbl_survey[Scheme Name],[1]!tbl_survey[Internal],"Not rated")</f>
        <v>3</v>
      </c>
      <c r="C326" s="403" t="e">
        <f t="array" ref="C326">IF(DATEVALUE([1]!tbl_survey[Date of inspection])&gt;DATEVALUE(B322),_xlfn.XLOOKUP(tbl_cleaning[[#This Row],[Scheme/Estate]],[1]!tbl_survey[Scheme Name],[1]!tbl_survey[Internal],"Not rated"),"Not rated")</f>
        <v>#VALUE!</v>
      </c>
      <c r="D326" s="432" t="s">
        <v>1380</v>
      </c>
      <c r="E326" s="446" t="s">
        <v>60</v>
      </c>
    </row>
    <row r="327" spans="1:5" ht="15" customHeight="1" x14ac:dyDescent="0.25">
      <c r="A327" s="462" t="s">
        <v>519</v>
      </c>
      <c r="B327" s="403" t="str">
        <f>_xlfn.XLOOKUP(tbl_cleaning[[#This Row],[Scheme/Estate]],[1]!tbl_survey[Scheme Name],[1]!tbl_survey[Internal],"Not rated")</f>
        <v>Not rated</v>
      </c>
      <c r="C327" s="403" t="e">
        <f t="array" ref="C327">IF(DATEVALUE([1]!tbl_survey[Date of inspection])&gt;DATEVALUE(B323),_xlfn.XLOOKUP(tbl_cleaning[[#This Row],[Scheme/Estate]],[1]!tbl_survey[Scheme Name],[1]!tbl_survey[Internal],"Not rated"),"Not rated")</f>
        <v>#VALUE!</v>
      </c>
      <c r="D327" s="432" t="s">
        <v>1378</v>
      </c>
      <c r="E327" s="443" t="s">
        <v>87</v>
      </c>
    </row>
    <row r="328" spans="1:5" ht="15" customHeight="1" x14ac:dyDescent="0.25">
      <c r="A328" s="462" t="s">
        <v>521</v>
      </c>
      <c r="B328" s="403" t="str">
        <f>_xlfn.XLOOKUP(tbl_cleaning[[#This Row],[Scheme/Estate]],[1]!tbl_survey[Scheme Name],[1]!tbl_survey[Internal],"Not rated")</f>
        <v>Not rated</v>
      </c>
      <c r="C328" s="403" t="e">
        <f t="array" ref="C328">IF(DATEVALUE([1]!tbl_survey[Date of inspection])&gt;DATEVALUE(B324),_xlfn.XLOOKUP(tbl_cleaning[[#This Row],[Scheme/Estate]],[1]!tbl_survey[Scheme Name],[1]!tbl_survey[Internal],"Not rated"),"Not rated")</f>
        <v>#VALUE!</v>
      </c>
      <c r="D328" s="432" t="s">
        <v>1378</v>
      </c>
      <c r="E328" s="443" t="s">
        <v>87</v>
      </c>
    </row>
    <row r="329" spans="1:5" ht="15" customHeight="1" x14ac:dyDescent="0.25">
      <c r="A329" s="462" t="s">
        <v>522</v>
      </c>
      <c r="B329" s="403" t="str">
        <f>_xlfn.XLOOKUP(tbl_cleaning[[#This Row],[Scheme/Estate]],[1]!tbl_survey[Scheme Name],[1]!tbl_survey[Internal],"Not rated")</f>
        <v>Not rated</v>
      </c>
      <c r="C329" s="403" t="e">
        <f t="array" ref="C329">IF(DATEVALUE([1]!tbl_survey[Date of inspection])&gt;DATEVALUE(B325),_xlfn.XLOOKUP(tbl_cleaning[[#This Row],[Scheme/Estate]],[1]!tbl_survey[Scheme Name],[1]!tbl_survey[Internal],"Not rated"),"Not rated")</f>
        <v>#VALUE!</v>
      </c>
      <c r="D329" s="432" t="s">
        <v>1372</v>
      </c>
      <c r="E329" s="450" t="s">
        <v>60</v>
      </c>
    </row>
    <row r="330" spans="1:5" ht="15" customHeight="1" x14ac:dyDescent="0.25">
      <c r="A330" s="462" t="s">
        <v>523</v>
      </c>
      <c r="B330" s="403" t="str">
        <f>_xlfn.XLOOKUP(tbl_cleaning[[#This Row],[Scheme/Estate]],[1]!tbl_survey[Scheme Name],[1]!tbl_survey[Internal],"Not rated")</f>
        <v>Not rated</v>
      </c>
      <c r="C330" s="403" t="e">
        <f t="array" ref="C330">IF(DATEVALUE([1]!tbl_survey[Date of inspection])&gt;DATEVALUE(B326),_xlfn.XLOOKUP(tbl_cleaning[[#This Row],[Scheme/Estate]],[1]!tbl_survey[Scheme Name],[1]!tbl_survey[Internal],"Not rated"),"Not rated")</f>
        <v>#VALUE!</v>
      </c>
      <c r="D330" s="432" t="s">
        <v>1378</v>
      </c>
      <c r="E330" s="448" t="s">
        <v>87</v>
      </c>
    </row>
    <row r="331" spans="1:5" ht="15" customHeight="1" x14ac:dyDescent="0.25">
      <c r="A331" s="478" t="s">
        <v>524</v>
      </c>
      <c r="B331" s="403" t="str">
        <f>_xlfn.XLOOKUP(tbl_cleaning[[#This Row],[Scheme/Estate]],[1]!tbl_survey[Scheme Name],[1]!tbl_survey[Internal],"Not rated")</f>
        <v>Not rated</v>
      </c>
      <c r="C331" s="403" t="e">
        <f t="array" ref="C331">IF(DATEVALUE([1]!tbl_survey[Date of inspection])&gt;DATEVALUE(B327),_xlfn.XLOOKUP(tbl_cleaning[[#This Row],[Scheme/Estate]],[1]!tbl_survey[Scheme Name],[1]!tbl_survey[Internal],"Not rated"),"Not rated")</f>
        <v>#VALUE!</v>
      </c>
      <c r="D331" s="432" t="s">
        <v>1366</v>
      </c>
      <c r="E331" s="447" t="s">
        <v>87</v>
      </c>
    </row>
    <row r="332" spans="1:5" ht="15" customHeight="1" x14ac:dyDescent="0.25">
      <c r="A332" s="462" t="s">
        <v>525</v>
      </c>
      <c r="B332" s="403" t="str">
        <f>_xlfn.XLOOKUP(tbl_cleaning[[#This Row],[Scheme/Estate]],[1]!tbl_survey[Scheme Name],[1]!tbl_survey[Internal],"Not rated")</f>
        <v>Not rated</v>
      </c>
      <c r="C332" s="403" t="e">
        <f t="array" ref="C332">IF(DATEVALUE([1]!tbl_survey[Date of inspection])&gt;DATEVALUE(B328),_xlfn.XLOOKUP(tbl_cleaning[[#This Row],[Scheme/Estate]],[1]!tbl_survey[Scheme Name],[1]!tbl_survey[Internal],"Not rated"),"Not rated")</f>
        <v>#VALUE!</v>
      </c>
      <c r="D332" s="432" t="s">
        <v>1378</v>
      </c>
      <c r="E332" s="452" t="s">
        <v>87</v>
      </c>
    </row>
    <row r="333" spans="1:5" ht="15" customHeight="1" x14ac:dyDescent="0.25">
      <c r="A333" s="463" t="s">
        <v>526</v>
      </c>
      <c r="B333" s="403" t="str">
        <f>_xlfn.XLOOKUP(tbl_cleaning[[#This Row],[Scheme/Estate]],[1]!tbl_survey[Scheme Name],[1]!tbl_survey[Internal],"Not rated")</f>
        <v>Not rated</v>
      </c>
      <c r="C333" s="403" t="e">
        <f t="array" ref="C333">IF(DATEVALUE([1]!tbl_survey[Date of inspection])&gt;DATEVALUE(B329),_xlfn.XLOOKUP(tbl_cleaning[[#This Row],[Scheme/Estate]],[1]!tbl_survey[Scheme Name],[1]!tbl_survey[Internal],"Not rated"),"Not rated")</f>
        <v>#VALUE!</v>
      </c>
      <c r="D333" s="432" t="s">
        <v>1364</v>
      </c>
      <c r="E333" s="154" t="s">
        <v>60</v>
      </c>
    </row>
    <row r="334" spans="1:5" ht="15" customHeight="1" x14ac:dyDescent="0.25">
      <c r="A334" s="462" t="s">
        <v>527</v>
      </c>
      <c r="B334" s="403" t="str">
        <f>_xlfn.XLOOKUP(tbl_cleaning[[#This Row],[Scheme/Estate]],[1]!tbl_survey[Scheme Name],[1]!tbl_survey[Internal],"Not rated")</f>
        <v>Not rated</v>
      </c>
      <c r="C334" s="403" t="e">
        <f t="array" ref="C334">IF(DATEVALUE([1]!tbl_survey[Date of inspection])&gt;DATEVALUE(B330),_xlfn.XLOOKUP(tbl_cleaning[[#This Row],[Scheme/Estate]],[1]!tbl_survey[Scheme Name],[1]!tbl_survey[Internal],"Not rated"),"Not rated")</f>
        <v>#VALUE!</v>
      </c>
      <c r="D334" s="432" t="s">
        <v>1372</v>
      </c>
      <c r="E334" s="154" t="s">
        <v>60</v>
      </c>
    </row>
    <row r="335" spans="1:5" ht="15" customHeight="1" x14ac:dyDescent="0.25">
      <c r="A335" s="463" t="s">
        <v>528</v>
      </c>
      <c r="B335" s="403" t="str">
        <f>_xlfn.XLOOKUP(tbl_cleaning[[#This Row],[Scheme/Estate]],[1]!tbl_survey[Scheme Name],[1]!tbl_survey[Internal],"Not rated")</f>
        <v>Not rated</v>
      </c>
      <c r="C335" s="403" t="e">
        <f t="array" ref="C335">IF(DATEVALUE([1]!tbl_survey[Date of inspection])&gt;DATEVALUE(B331),_xlfn.XLOOKUP(tbl_cleaning[[#This Row],[Scheme/Estate]],[1]!tbl_survey[Scheme Name],[1]!tbl_survey[Internal],"Not rated"),"Not rated")</f>
        <v>#VALUE!</v>
      </c>
      <c r="D335" s="432" t="s">
        <v>1383</v>
      </c>
      <c r="E335" s="154" t="s">
        <v>87</v>
      </c>
    </row>
    <row r="336" spans="1:5" ht="15" customHeight="1" x14ac:dyDescent="0.25">
      <c r="A336" s="392" t="s">
        <v>529</v>
      </c>
      <c r="B336" s="403" t="str">
        <f>_xlfn.XLOOKUP(tbl_cleaning[[#This Row],[Scheme/Estate]],[1]!tbl_survey[Scheme Name],[1]!tbl_survey[Internal],"Not rated")</f>
        <v>Not rated</v>
      </c>
      <c r="C336" s="403" t="e">
        <f t="array" ref="C336">IF(DATEVALUE([1]!tbl_survey[Date of inspection])&gt;DATEVALUE(B332),_xlfn.XLOOKUP(tbl_cleaning[[#This Row],[Scheme/Estate]],[1]!tbl_survey[Scheme Name],[1]!tbl_survey[Internal],"Not rated"),"Not rated")</f>
        <v>#VALUE!</v>
      </c>
      <c r="D336" s="432" t="s">
        <v>1363</v>
      </c>
      <c r="E336" s="154" t="s">
        <v>58</v>
      </c>
    </row>
    <row r="337" spans="1:5" ht="15" customHeight="1" x14ac:dyDescent="0.25">
      <c r="A337" s="462" t="s">
        <v>531</v>
      </c>
      <c r="B337" s="403" t="str">
        <f>_xlfn.XLOOKUP(tbl_cleaning[[#This Row],[Scheme/Estate]],[1]!tbl_survey[Scheme Name],[1]!tbl_survey[Internal],"Not rated")</f>
        <v>Not rated</v>
      </c>
      <c r="C337" s="403" t="e">
        <f t="array" ref="C337">IF(DATEVALUE([1]!tbl_survey[Date of inspection])&gt;DATEVALUE(B333),_xlfn.XLOOKUP(tbl_cleaning[[#This Row],[Scheme/Estate]],[1]!tbl_survey[Scheme Name],[1]!tbl_survey[Internal],"Not rated"),"Not rated")</f>
        <v>#VALUE!</v>
      </c>
      <c r="D337" s="432" t="s">
        <v>1378</v>
      </c>
      <c r="E337" s="443" t="s">
        <v>87</v>
      </c>
    </row>
    <row r="338" spans="1:5" ht="15" customHeight="1" x14ac:dyDescent="0.25">
      <c r="A338" s="462" t="s">
        <v>533</v>
      </c>
      <c r="B338" s="403" t="str">
        <f>_xlfn.XLOOKUP(tbl_cleaning[[#This Row],[Scheme/Estate]],[1]!tbl_survey[Scheme Name],[1]!tbl_survey[Internal],"Not rated")</f>
        <v>Not rated</v>
      </c>
      <c r="C338" s="403" t="e">
        <f t="array" ref="C338">IF(DATEVALUE([1]!tbl_survey[Date of inspection])&gt;DATEVALUE(B334),_xlfn.XLOOKUP(tbl_cleaning[[#This Row],[Scheme/Estate]],[1]!tbl_survey[Scheme Name],[1]!tbl_survey[Internal],"Not rated"),"Not rated")</f>
        <v>#VALUE!</v>
      </c>
      <c r="D338" s="432" t="s">
        <v>1378</v>
      </c>
      <c r="E338" s="451" t="s">
        <v>87</v>
      </c>
    </row>
    <row r="339" spans="1:5" ht="15" customHeight="1" x14ac:dyDescent="0.25">
      <c r="A339" s="467" t="s">
        <v>534</v>
      </c>
      <c r="B339" s="403" t="str">
        <f>_xlfn.XLOOKUP(tbl_cleaning[[#This Row],[Scheme/Estate]],[1]!tbl_survey[Scheme Name],[1]!tbl_survey[Internal],"Not rated")</f>
        <v>Not rated</v>
      </c>
      <c r="C339" s="403" t="e">
        <f t="array" ref="C339">IF(DATEVALUE([1]!tbl_survey[Date of inspection])&gt;DATEVALUE(B335),_xlfn.XLOOKUP(tbl_cleaning[[#This Row],[Scheme/Estate]],[1]!tbl_survey[Scheme Name],[1]!tbl_survey[Internal],"Not rated"),"Not rated")</f>
        <v>#VALUE!</v>
      </c>
      <c r="D339" s="432" t="s">
        <v>1378</v>
      </c>
      <c r="E339" s="443" t="s">
        <v>87</v>
      </c>
    </row>
    <row r="340" spans="1:5" ht="15" customHeight="1" x14ac:dyDescent="0.25">
      <c r="A340" s="470" t="s">
        <v>535</v>
      </c>
      <c r="B340" s="403" t="str">
        <f>_xlfn.XLOOKUP(tbl_cleaning[[#This Row],[Scheme/Estate]],[1]!tbl_survey[Scheme Name],[1]!tbl_survey[Internal],"Not rated")</f>
        <v>Not rated</v>
      </c>
      <c r="C340" s="403" t="e">
        <f t="array" ref="C340">IF(DATEVALUE([1]!tbl_survey[Date of inspection])&gt;DATEVALUE(B336),_xlfn.XLOOKUP(tbl_cleaning[[#This Row],[Scheme/Estate]],[1]!tbl_survey[Scheme Name],[1]!tbl_survey[Internal],"Not rated"),"Not rated")</f>
        <v>#VALUE!</v>
      </c>
      <c r="D340" s="432" t="s">
        <v>1373</v>
      </c>
      <c r="E340" s="154" t="s">
        <v>58</v>
      </c>
    </row>
    <row r="341" spans="1:5" ht="15" customHeight="1" x14ac:dyDescent="0.25">
      <c r="A341" s="463" t="s">
        <v>537</v>
      </c>
      <c r="B341" s="403" t="str">
        <f>_xlfn.XLOOKUP(tbl_cleaning[[#This Row],[Scheme/Estate]],[1]!tbl_survey[Scheme Name],[1]!tbl_survey[Internal],"Not rated")</f>
        <v>Not rated</v>
      </c>
      <c r="C341" s="403" t="e">
        <f t="array" ref="C341">IF(DATEVALUE([1]!tbl_survey[Date of inspection])&gt;DATEVALUE(B337),_xlfn.XLOOKUP(tbl_cleaning[[#This Row],[Scheme/Estate]],[1]!tbl_survey[Scheme Name],[1]!tbl_survey[Internal],"Not rated"),"Not rated")</f>
        <v>#VALUE!</v>
      </c>
      <c r="D341" s="432" t="s">
        <v>1372</v>
      </c>
      <c r="E341" s="154" t="s">
        <v>60</v>
      </c>
    </row>
    <row r="342" spans="1:5" ht="15" customHeight="1" x14ac:dyDescent="0.25">
      <c r="A342" s="463" t="s">
        <v>538</v>
      </c>
      <c r="B342" s="403" t="str">
        <f>_xlfn.XLOOKUP(tbl_cleaning[[#This Row],[Scheme/Estate]],[1]!tbl_survey[Scheme Name],[1]!tbl_survey[Internal],"Not rated")</f>
        <v>Not rated</v>
      </c>
      <c r="C342" s="403" t="e">
        <f t="array" ref="C342">IF(DATEVALUE([1]!tbl_survey[Date of inspection])&gt;DATEVALUE(B338),_xlfn.XLOOKUP(tbl_cleaning[[#This Row],[Scheme/Estate]],[1]!tbl_survey[Scheme Name],[1]!tbl_survey[Internal],"Not rated"),"Not rated")</f>
        <v>#VALUE!</v>
      </c>
      <c r="D342" s="432" t="s">
        <v>1376</v>
      </c>
      <c r="E342" s="154" t="s">
        <v>60</v>
      </c>
    </row>
    <row r="343" spans="1:5" ht="15" customHeight="1" x14ac:dyDescent="0.25">
      <c r="A343" s="465" t="s">
        <v>1415</v>
      </c>
      <c r="B343" s="403" t="str">
        <f>_xlfn.XLOOKUP(tbl_cleaning[[#This Row],[Scheme/Estate]],[1]!tbl_survey[Scheme Name],[1]!tbl_survey[Internal],"Not rated")</f>
        <v>Not rated</v>
      </c>
      <c r="C343" s="403" t="e">
        <f t="array" ref="C343">IF(DATEVALUE([1]!tbl_survey[Date of inspection])&gt;DATEVALUE(B339),_xlfn.XLOOKUP(tbl_cleaning[[#This Row],[Scheme/Estate]],[1]!tbl_survey[Scheme Name],[1]!tbl_survey[Internal],"Not rated"),"Not rated")</f>
        <v>#VALUE!</v>
      </c>
      <c r="D343" s="432" t="s">
        <v>1375</v>
      </c>
      <c r="E343" s="154" t="s">
        <v>60</v>
      </c>
    </row>
    <row r="344" spans="1:5" ht="15" customHeight="1" x14ac:dyDescent="0.25">
      <c r="A344" s="463" t="s">
        <v>540</v>
      </c>
      <c r="B344" s="403" t="str">
        <f>_xlfn.XLOOKUP(tbl_cleaning[[#This Row],[Scheme/Estate]],[1]!tbl_survey[Scheme Name],[1]!tbl_survey[Internal],"Not rated")</f>
        <v>Not rated</v>
      </c>
      <c r="C344" s="403" t="e">
        <f t="array" ref="C344">IF(DATEVALUE([1]!tbl_survey[Date of inspection])&gt;DATEVALUE(B340),_xlfn.XLOOKUP(tbl_cleaning[[#This Row],[Scheme/Estate]],[1]!tbl_survey[Scheme Name],[1]!tbl_survey[Internal],"Not rated"),"Not rated")</f>
        <v>#VALUE!</v>
      </c>
      <c r="D344" s="432" t="s">
        <v>1383</v>
      </c>
      <c r="E344" s="154" t="s">
        <v>87</v>
      </c>
    </row>
    <row r="345" spans="1:5" ht="15" customHeight="1" x14ac:dyDescent="0.25">
      <c r="A345" s="470" t="s">
        <v>541</v>
      </c>
      <c r="B345" s="403" t="str">
        <f>_xlfn.XLOOKUP(tbl_cleaning[[#This Row],[Scheme/Estate]],[1]!tbl_survey[Scheme Name],[1]!tbl_survey[Internal],"Not rated")</f>
        <v>Not rated</v>
      </c>
      <c r="C345" s="403" t="e">
        <f t="array" ref="C345">IF(DATEVALUE([1]!tbl_survey[Date of inspection])&gt;DATEVALUE(B341),_xlfn.XLOOKUP(tbl_cleaning[[#This Row],[Scheme/Estate]],[1]!tbl_survey[Scheme Name],[1]!tbl_survey[Internal],"Not rated"),"Not rated")</f>
        <v>#VALUE!</v>
      </c>
      <c r="D345" s="432" t="s">
        <v>1381</v>
      </c>
      <c r="E345" s="154" t="s">
        <v>60</v>
      </c>
    </row>
    <row r="346" spans="1:5" ht="15" customHeight="1" x14ac:dyDescent="0.25">
      <c r="A346" s="467" t="s">
        <v>542</v>
      </c>
      <c r="B346" s="403" t="str">
        <f>_xlfn.XLOOKUP(tbl_cleaning[[#This Row],[Scheme/Estate]],[1]!tbl_survey[Scheme Name],[1]!tbl_survey[Internal],"Not rated")</f>
        <v>Not rated</v>
      </c>
      <c r="C346" s="403" t="e">
        <f t="array" ref="C346">IF(DATEVALUE([1]!tbl_survey[Date of inspection])&gt;DATEVALUE(B342),_xlfn.XLOOKUP(tbl_cleaning[[#This Row],[Scheme/Estate]],[1]!tbl_survey[Scheme Name],[1]!tbl_survey[Internal],"Not rated"),"Not rated")</f>
        <v>#VALUE!</v>
      </c>
      <c r="D346" s="432" t="s">
        <v>1368</v>
      </c>
      <c r="E346" s="449" t="s">
        <v>60</v>
      </c>
    </row>
    <row r="347" spans="1:5" ht="15" customHeight="1" x14ac:dyDescent="0.25">
      <c r="A347" s="462" t="s">
        <v>544</v>
      </c>
      <c r="B347" s="403" t="str">
        <f>_xlfn.XLOOKUP(tbl_cleaning[[#This Row],[Scheme/Estate]],[1]!tbl_survey[Scheme Name],[1]!tbl_survey[Internal],"Not rated")</f>
        <v>Not rated</v>
      </c>
      <c r="C347" s="403" t="e">
        <f t="array" ref="C347">IF(DATEVALUE([1]!tbl_survey[Date of inspection])&gt;DATEVALUE(B343),_xlfn.XLOOKUP(tbl_cleaning[[#This Row],[Scheme/Estate]],[1]!tbl_survey[Scheme Name],[1]!tbl_survey[Internal],"Not rated"),"Not rated")</f>
        <v>#VALUE!</v>
      </c>
      <c r="D347" s="432" t="s">
        <v>1372</v>
      </c>
      <c r="E347" s="154" t="s">
        <v>60</v>
      </c>
    </row>
    <row r="348" spans="1:5" ht="15" customHeight="1" x14ac:dyDescent="0.25">
      <c r="A348" s="463" t="s">
        <v>545</v>
      </c>
      <c r="B348" s="403" t="str">
        <f>_xlfn.XLOOKUP(tbl_cleaning[[#This Row],[Scheme/Estate]],[1]!tbl_survey[Scheme Name],[1]!tbl_survey[Internal],"Not rated")</f>
        <v>Not rated</v>
      </c>
      <c r="C348" s="403" t="e">
        <f t="array" ref="C348">IF(DATEVALUE([1]!tbl_survey[Date of inspection])&gt;DATEVALUE(B344),_xlfn.XLOOKUP(tbl_cleaning[[#This Row],[Scheme/Estate]],[1]!tbl_survey[Scheme Name],[1]!tbl_survey[Internal],"Not rated"),"Not rated")</f>
        <v>#VALUE!</v>
      </c>
      <c r="D348" s="432" t="e">
        <v>#N/A</v>
      </c>
      <c r="E348" s="456"/>
    </row>
    <row r="349" spans="1:5" ht="15" customHeight="1" x14ac:dyDescent="0.25">
      <c r="A349" s="463" t="s">
        <v>547</v>
      </c>
      <c r="B349" s="403" t="str">
        <f>_xlfn.XLOOKUP(tbl_cleaning[[#This Row],[Scheme/Estate]],[1]!tbl_survey[Scheme Name],[1]!tbl_survey[Internal],"Not rated")</f>
        <v>Not rated</v>
      </c>
      <c r="C349" s="403" t="e">
        <f t="array" ref="C349">IF(DATEVALUE([1]!tbl_survey[Date of inspection])&gt;DATEVALUE(B345),_xlfn.XLOOKUP(tbl_cleaning[[#This Row],[Scheme/Estate]],[1]!tbl_survey[Scheme Name],[1]!tbl_survey[Internal],"Not rated"),"Not rated")</f>
        <v>#VALUE!</v>
      </c>
      <c r="D349" s="432" t="s">
        <v>1370</v>
      </c>
      <c r="E349" s="154" t="s">
        <v>93</v>
      </c>
    </row>
    <row r="350" spans="1:5" ht="15" customHeight="1" x14ac:dyDescent="0.25">
      <c r="A350" s="462" t="s">
        <v>548</v>
      </c>
      <c r="B350" s="403" t="str">
        <f>_xlfn.XLOOKUP(tbl_cleaning[[#This Row],[Scheme/Estate]],[1]!tbl_survey[Scheme Name],[1]!tbl_survey[Internal],"Not rated")</f>
        <v>Not rated</v>
      </c>
      <c r="C350" s="403" t="e">
        <f t="array" ref="C350">IF(DATEVALUE([1]!tbl_survey[Date of inspection])&gt;DATEVALUE(B346),_xlfn.XLOOKUP(tbl_cleaning[[#This Row],[Scheme/Estate]],[1]!tbl_survey[Scheme Name],[1]!tbl_survey[Internal],"Not rated"),"Not rated")</f>
        <v>#VALUE!</v>
      </c>
      <c r="D350" s="432" t="s">
        <v>1381</v>
      </c>
      <c r="E350" s="154" t="s">
        <v>60</v>
      </c>
    </row>
    <row r="351" spans="1:5" ht="15" customHeight="1" x14ac:dyDescent="0.25">
      <c r="A351" s="467" t="s">
        <v>549</v>
      </c>
      <c r="B351" s="403" t="str">
        <f>_xlfn.XLOOKUP(tbl_cleaning[[#This Row],[Scheme/Estate]],[1]!tbl_survey[Scheme Name],[1]!tbl_survey[Internal],"Not rated")</f>
        <v>Not rated</v>
      </c>
      <c r="C351" s="403" t="e">
        <f t="array" ref="C351">IF(DATEVALUE([1]!tbl_survey[Date of inspection])&gt;DATEVALUE(B347),_xlfn.XLOOKUP(tbl_cleaning[[#This Row],[Scheme/Estate]],[1]!tbl_survey[Scheme Name],[1]!tbl_survey[Internal],"Not rated"),"Not rated")</f>
        <v>#VALUE!</v>
      </c>
      <c r="D351" s="432" t="s">
        <v>1376</v>
      </c>
      <c r="E351" s="450" t="s">
        <v>60</v>
      </c>
    </row>
    <row r="352" spans="1:5" ht="15" customHeight="1" x14ac:dyDescent="0.25">
      <c r="A352" s="462" t="s">
        <v>551</v>
      </c>
      <c r="B352" s="403" t="str">
        <f>_xlfn.XLOOKUP(tbl_cleaning[[#This Row],[Scheme/Estate]],[1]!tbl_survey[Scheme Name],[1]!tbl_survey[Internal],"Not rated")</f>
        <v>Not rated</v>
      </c>
      <c r="C352" s="403" t="e">
        <f t="array" ref="C352">IF(DATEVALUE([1]!tbl_survey[Date of inspection])&gt;DATEVALUE(B348),_xlfn.XLOOKUP(tbl_cleaning[[#This Row],[Scheme/Estate]],[1]!tbl_survey[Scheme Name],[1]!tbl_survey[Internal],"Not rated"),"Not rated")</f>
        <v>#VALUE!</v>
      </c>
      <c r="D352" s="432" t="s">
        <v>1375</v>
      </c>
      <c r="E352" s="446" t="s">
        <v>60</v>
      </c>
    </row>
    <row r="353" spans="1:5" ht="15" customHeight="1" x14ac:dyDescent="0.25">
      <c r="A353" s="462" t="s">
        <v>552</v>
      </c>
      <c r="B353" s="403" t="str">
        <f>_xlfn.XLOOKUP(tbl_cleaning[[#This Row],[Scheme/Estate]],[1]!tbl_survey[Scheme Name],[1]!tbl_survey[Internal],"Not rated")</f>
        <v>Not rated</v>
      </c>
      <c r="C353" s="403" t="e">
        <f t="array" ref="C353">IF(DATEVALUE([1]!tbl_survey[Date of inspection])&gt;DATEVALUE(B349),_xlfn.XLOOKUP(tbl_cleaning[[#This Row],[Scheme/Estate]],[1]!tbl_survey[Scheme Name],[1]!tbl_survey[Internal],"Not rated"),"Not rated")</f>
        <v>#VALUE!</v>
      </c>
      <c r="D353" s="432" t="s">
        <v>1383</v>
      </c>
      <c r="E353" s="443" t="s">
        <v>87</v>
      </c>
    </row>
    <row r="354" spans="1:5" ht="15" customHeight="1" x14ac:dyDescent="0.25">
      <c r="A354" s="467" t="s">
        <v>553</v>
      </c>
      <c r="B354" s="403" t="str">
        <f>_xlfn.XLOOKUP(tbl_cleaning[[#This Row],[Scheme/Estate]],[1]!tbl_survey[Scheme Name],[1]!tbl_survey[Internal],"Not rated")</f>
        <v>Not rated</v>
      </c>
      <c r="C354" s="403" t="e">
        <f t="array" ref="C354">IF(DATEVALUE([1]!tbl_survey[Date of inspection])&gt;DATEVALUE(B350),_xlfn.XLOOKUP(tbl_cleaning[[#This Row],[Scheme/Estate]],[1]!tbl_survey[Scheme Name],[1]!tbl_survey[Internal],"Not rated"),"Not rated")</f>
        <v>#VALUE!</v>
      </c>
      <c r="D354" s="432" t="s">
        <v>1375</v>
      </c>
      <c r="E354" s="154" t="s">
        <v>60</v>
      </c>
    </row>
    <row r="355" spans="1:5" ht="15" customHeight="1" x14ac:dyDescent="0.25">
      <c r="A355" s="462" t="s">
        <v>554</v>
      </c>
      <c r="B355" s="403" t="str">
        <f>_xlfn.XLOOKUP(tbl_cleaning[[#This Row],[Scheme/Estate]],[1]!tbl_survey[Scheme Name],[1]!tbl_survey[Internal],"Not rated")</f>
        <v>Not rated</v>
      </c>
      <c r="C355" s="403" t="e">
        <f t="array" ref="C355">IF(DATEVALUE([1]!tbl_survey[Date of inspection])&gt;DATEVALUE(B351),_xlfn.XLOOKUP(tbl_cleaning[[#This Row],[Scheme/Estate]],[1]!tbl_survey[Scheme Name],[1]!tbl_survey[Internal],"Not rated"),"Not rated")</f>
        <v>#VALUE!</v>
      </c>
      <c r="D355" s="432" t="s">
        <v>1381</v>
      </c>
      <c r="E355" s="449" t="s">
        <v>60</v>
      </c>
    </row>
    <row r="356" spans="1:5" ht="15" customHeight="1" x14ac:dyDescent="0.25">
      <c r="A356" s="462" t="s">
        <v>555</v>
      </c>
      <c r="B356" s="403" t="str">
        <f>_xlfn.XLOOKUP(tbl_cleaning[[#This Row],[Scheme/Estate]],[1]!tbl_survey[Scheme Name],[1]!tbl_survey[Internal],"Not rated")</f>
        <v>Not rated</v>
      </c>
      <c r="C356" s="403" t="e">
        <f t="array" ref="C356">IF(DATEVALUE([1]!tbl_survey[Date of inspection])&gt;DATEVALUE(B352),_xlfn.XLOOKUP(tbl_cleaning[[#This Row],[Scheme/Estate]],[1]!tbl_survey[Scheme Name],[1]!tbl_survey[Internal],"Not rated"),"Not rated")</f>
        <v>#VALUE!</v>
      </c>
      <c r="D356" s="432" t="s">
        <v>1381</v>
      </c>
      <c r="E356" s="154" t="s">
        <v>60</v>
      </c>
    </row>
    <row r="357" spans="1:5" ht="15" customHeight="1" x14ac:dyDescent="0.25">
      <c r="A357" s="462" t="s">
        <v>1416</v>
      </c>
      <c r="B357" s="403" t="str">
        <f>_xlfn.XLOOKUP(tbl_cleaning[[#This Row],[Scheme/Estate]],[1]!tbl_survey[Scheme Name],[1]!tbl_survey[Internal],"Not rated")</f>
        <v>Not rated</v>
      </c>
      <c r="C357" s="403" t="e">
        <f t="array" ref="C357">IF(DATEVALUE([1]!tbl_survey[Date of inspection])&gt;DATEVALUE(B353),_xlfn.XLOOKUP(tbl_cleaning[[#This Row],[Scheme/Estate]],[1]!tbl_survey[Scheme Name],[1]!tbl_survey[Internal],"Not rated"),"Not rated")</f>
        <v>#VALUE!</v>
      </c>
      <c r="D357" s="432" t="s">
        <v>1375</v>
      </c>
      <c r="E357" s="154" t="s">
        <v>60</v>
      </c>
    </row>
    <row r="358" spans="1:5" ht="15" customHeight="1" x14ac:dyDescent="0.25">
      <c r="A358" s="462" t="s">
        <v>1358</v>
      </c>
      <c r="B358" s="403" t="str">
        <f>_xlfn.XLOOKUP(tbl_cleaning[[#This Row],[Scheme/Estate]],[1]!tbl_survey[Scheme Name],[1]!tbl_survey[Internal],"Not rated")</f>
        <v>Not rated</v>
      </c>
      <c r="C358" s="403" t="e">
        <f t="array" ref="C358">IF(DATEVALUE([1]!tbl_survey[Date of inspection])&gt;DATEVALUE(B354),_xlfn.XLOOKUP(tbl_cleaning[[#This Row],[Scheme/Estate]],[1]!tbl_survey[Scheme Name],[1]!tbl_survey[Internal],"Not rated"),"Not rated")</f>
        <v>#VALUE!</v>
      </c>
      <c r="D358" s="432" t="s">
        <v>1365</v>
      </c>
      <c r="E358" s="451" t="s">
        <v>87</v>
      </c>
    </row>
    <row r="359" spans="1:5" ht="15" customHeight="1" x14ac:dyDescent="0.25">
      <c r="A359" s="463" t="s">
        <v>561</v>
      </c>
      <c r="B359" s="403" t="str">
        <f>_xlfn.XLOOKUP(tbl_cleaning[[#This Row],[Scheme/Estate]],[1]!tbl_survey[Scheme Name],[1]!tbl_survey[Internal],"Not rated")</f>
        <v>Not rated</v>
      </c>
      <c r="C359" s="403" t="e">
        <f t="array" ref="C359">IF(DATEVALUE([1]!tbl_survey[Date of inspection])&gt;DATEVALUE(B355),_xlfn.XLOOKUP(tbl_cleaning[[#This Row],[Scheme/Estate]],[1]!tbl_survey[Scheme Name],[1]!tbl_survey[Internal],"Not rated"),"Not rated")</f>
        <v>#VALUE!</v>
      </c>
      <c r="D359" s="432" t="s">
        <v>1383</v>
      </c>
      <c r="E359" s="154" t="s">
        <v>87</v>
      </c>
    </row>
    <row r="360" spans="1:5" ht="15" customHeight="1" x14ac:dyDescent="0.25">
      <c r="A360" s="462" t="s">
        <v>1317</v>
      </c>
      <c r="B360" s="403" t="str">
        <f>_xlfn.XLOOKUP(tbl_cleaning[[#This Row],[Scheme/Estate]],[1]!tbl_survey[Scheme Name],[1]!tbl_survey[Internal],"Not rated")</f>
        <v>Not rated</v>
      </c>
      <c r="C360" s="403" t="e">
        <f t="array" ref="C360">IF(DATEVALUE([1]!tbl_survey[Date of inspection])&gt;DATEVALUE(B356),_xlfn.XLOOKUP(tbl_cleaning[[#This Row],[Scheme/Estate]],[1]!tbl_survey[Scheme Name],[1]!tbl_survey[Internal],"Not rated"),"Not rated")</f>
        <v>#VALUE!</v>
      </c>
      <c r="D360" s="432" t="s">
        <v>1381</v>
      </c>
      <c r="E360" s="450" t="s">
        <v>60</v>
      </c>
    </row>
    <row r="361" spans="1:5" ht="15" customHeight="1" x14ac:dyDescent="0.25">
      <c r="A361" s="468" t="s">
        <v>566</v>
      </c>
      <c r="B361" s="403" t="str">
        <f>_xlfn.XLOOKUP(tbl_cleaning[[#This Row],[Scheme/Estate]],[1]!tbl_survey[Scheme Name],[1]!tbl_survey[Internal],"Not rated")</f>
        <v>Not rated</v>
      </c>
      <c r="C361" s="403" t="e">
        <f t="array" ref="C361">IF(DATEVALUE([1]!tbl_survey[Date of inspection])&gt;DATEVALUE(B357),_xlfn.XLOOKUP(tbl_cleaning[[#This Row],[Scheme/Estate]],[1]!tbl_survey[Scheme Name],[1]!tbl_survey[Internal],"Not rated"),"Not rated")</f>
        <v>#VALUE!</v>
      </c>
      <c r="D361" s="432" t="s">
        <v>1367</v>
      </c>
      <c r="E361" s="446" t="s">
        <v>93</v>
      </c>
    </row>
    <row r="362" spans="1:5" ht="15" customHeight="1" x14ac:dyDescent="0.25">
      <c r="A362" s="467" t="s">
        <v>568</v>
      </c>
      <c r="B362" s="403" t="str">
        <f>_xlfn.XLOOKUP(tbl_cleaning[[#This Row],[Scheme/Estate]],[1]!tbl_survey[Scheme Name],[1]!tbl_survey[Internal],"Not rated")</f>
        <v>Not rated</v>
      </c>
      <c r="C362" s="403" t="e">
        <f t="array" ref="C362">IF(DATEVALUE([1]!tbl_survey[Date of inspection])&gt;DATEVALUE(B358),_xlfn.XLOOKUP(tbl_cleaning[[#This Row],[Scheme/Estate]],[1]!tbl_survey[Scheme Name],[1]!tbl_survey[Internal],"Not rated"),"Not rated")</f>
        <v>#VALUE!</v>
      </c>
      <c r="D362" s="432" t="s">
        <v>1375</v>
      </c>
      <c r="E362" s="154" t="s">
        <v>60</v>
      </c>
    </row>
    <row r="363" spans="1:5" ht="15" customHeight="1" x14ac:dyDescent="0.25">
      <c r="A363" s="483" t="s">
        <v>570</v>
      </c>
      <c r="B363" s="403" t="str">
        <f>_xlfn.XLOOKUP(tbl_cleaning[[#This Row],[Scheme/Estate]],[1]!tbl_survey[Scheme Name],[1]!tbl_survey[Internal],"Not rated")</f>
        <v>Not rated</v>
      </c>
      <c r="C363" s="403" t="e">
        <f t="array" ref="C363">IF(DATEVALUE([1]!tbl_survey[Date of inspection])&gt;DATEVALUE(B359),_xlfn.XLOOKUP(tbl_cleaning[[#This Row],[Scheme/Estate]],[1]!tbl_survey[Scheme Name],[1]!tbl_survey[Internal],"Not rated"),"Not rated")</f>
        <v>#VALUE!</v>
      </c>
      <c r="D363" s="432" t="s">
        <v>1375</v>
      </c>
      <c r="E363" s="449" t="s">
        <v>60</v>
      </c>
    </row>
    <row r="364" spans="1:5" ht="15" customHeight="1" x14ac:dyDescent="0.25">
      <c r="A364" s="462" t="s">
        <v>571</v>
      </c>
      <c r="B364" s="403" t="str">
        <f>_xlfn.XLOOKUP(tbl_cleaning[[#This Row],[Scheme/Estate]],[1]!tbl_survey[Scheme Name],[1]!tbl_survey[Internal],"Not rated")</f>
        <v>Not rated</v>
      </c>
      <c r="C364" s="403" t="e">
        <f t="array" ref="C364">IF(DATEVALUE([1]!tbl_survey[Date of inspection])&gt;DATEVALUE(B360),_xlfn.XLOOKUP(tbl_cleaning[[#This Row],[Scheme/Estate]],[1]!tbl_survey[Scheme Name],[1]!tbl_survey[Internal],"Not rated"),"Not rated")</f>
        <v>#VALUE!</v>
      </c>
      <c r="D364" s="432" t="s">
        <v>1378</v>
      </c>
      <c r="E364" s="443" t="s">
        <v>87</v>
      </c>
    </row>
    <row r="365" spans="1:5" ht="15" customHeight="1" x14ac:dyDescent="0.25">
      <c r="A365" s="462" t="s">
        <v>572</v>
      </c>
      <c r="B365" s="403" t="str">
        <f>_xlfn.XLOOKUP(tbl_cleaning[[#This Row],[Scheme/Estate]],[1]!tbl_survey[Scheme Name],[1]!tbl_survey[Internal],"Not rated")</f>
        <v>Not rated</v>
      </c>
      <c r="C365" s="403" t="e">
        <f t="array" ref="C365">IF(DATEVALUE([1]!tbl_survey[Date of inspection])&gt;DATEVALUE(B361),_xlfn.XLOOKUP(tbl_cleaning[[#This Row],[Scheme/Estate]],[1]!tbl_survey[Scheme Name],[1]!tbl_survey[Internal],"Not rated"),"Not rated")</f>
        <v>#VALUE!</v>
      </c>
      <c r="D365" s="432" t="s">
        <v>1381</v>
      </c>
      <c r="E365" s="154" t="s">
        <v>60</v>
      </c>
    </row>
    <row r="366" spans="1:5" ht="15" customHeight="1" x14ac:dyDescent="0.25">
      <c r="A366" s="391" t="s">
        <v>574</v>
      </c>
      <c r="B366" s="403" t="str">
        <f>_xlfn.XLOOKUP(tbl_cleaning[[#This Row],[Scheme/Estate]],[1]!tbl_survey[Scheme Name],[1]!tbl_survey[Internal],"Not rated")</f>
        <v>Not rated</v>
      </c>
      <c r="C366" s="403" t="e">
        <f t="array" ref="C366">IF(DATEVALUE([1]!tbl_survey[Date of inspection])&gt;DATEVALUE(B362),_xlfn.XLOOKUP(tbl_cleaning[[#This Row],[Scheme/Estate]],[1]!tbl_survey[Scheme Name],[1]!tbl_survey[Internal],"Not rated"),"Not rated")</f>
        <v>#VALUE!</v>
      </c>
      <c r="D366" s="432" t="s">
        <v>1383</v>
      </c>
      <c r="E366" s="449" t="s">
        <v>87</v>
      </c>
    </row>
    <row r="367" spans="1:5" ht="15" customHeight="1" x14ac:dyDescent="0.25">
      <c r="A367" s="391" t="s">
        <v>575</v>
      </c>
      <c r="B367" s="403" t="str">
        <f>_xlfn.XLOOKUP(tbl_cleaning[[#This Row],[Scheme/Estate]],[1]!tbl_survey[Scheme Name],[1]!tbl_survey[Internal],"Not rated")</f>
        <v>Not rated</v>
      </c>
      <c r="C367" s="403" t="e">
        <f t="array" ref="C367">IF(DATEVALUE([1]!tbl_survey[Date of inspection])&gt;DATEVALUE(B363),_xlfn.XLOOKUP(tbl_cleaning[[#This Row],[Scheme/Estate]],[1]!tbl_survey[Scheme Name],[1]!tbl_survey[Internal],"Not rated"),"Not rated")</f>
        <v>#VALUE!</v>
      </c>
      <c r="D367" s="432" t="s">
        <v>1381</v>
      </c>
      <c r="E367" s="154" t="s">
        <v>60</v>
      </c>
    </row>
    <row r="368" spans="1:5" ht="15" customHeight="1" x14ac:dyDescent="0.25">
      <c r="A368" s="462" t="s">
        <v>576</v>
      </c>
      <c r="B368" s="403" t="str">
        <f>_xlfn.XLOOKUP(tbl_cleaning[[#This Row],[Scheme/Estate]],[1]!tbl_survey[Scheme Name],[1]!tbl_survey[Internal],"Not rated")</f>
        <v>Not rated</v>
      </c>
      <c r="C368" s="403" t="e">
        <f t="array" ref="C368">IF(DATEVALUE([1]!tbl_survey[Date of inspection])&gt;DATEVALUE(B364),_xlfn.XLOOKUP(tbl_cleaning[[#This Row],[Scheme/Estate]],[1]!tbl_survey[Scheme Name],[1]!tbl_survey[Internal],"Not rated"),"Not rated")</f>
        <v>#VALUE!</v>
      </c>
      <c r="D368" s="432" t="s">
        <v>1381</v>
      </c>
      <c r="E368" s="154" t="s">
        <v>60</v>
      </c>
    </row>
    <row r="369" spans="1:5" ht="15" customHeight="1" x14ac:dyDescent="0.25">
      <c r="A369" s="462" t="s">
        <v>1337</v>
      </c>
      <c r="B369" s="403" t="str">
        <f>_xlfn.XLOOKUP(tbl_cleaning[[#This Row],[Scheme/Estate]],[1]!tbl_survey[Scheme Name],[1]!tbl_survey[Internal],"Not rated")</f>
        <v>Not rated</v>
      </c>
      <c r="C369" s="403" t="e">
        <f t="array" ref="C369">IF(DATEVALUE([1]!tbl_survey[Date of inspection])&gt;DATEVALUE(B365),_xlfn.XLOOKUP(tbl_cleaning[[#This Row],[Scheme/Estate]],[1]!tbl_survey[Scheme Name],[1]!tbl_survey[Internal],"Not rated"),"Not rated")</f>
        <v>#VALUE!</v>
      </c>
      <c r="D369" s="432" t="s">
        <v>1375</v>
      </c>
      <c r="E369" s="154" t="s">
        <v>60</v>
      </c>
    </row>
    <row r="370" spans="1:5" ht="15" customHeight="1" x14ac:dyDescent="0.25">
      <c r="A370" s="462" t="s">
        <v>1338</v>
      </c>
      <c r="B370" s="403" t="str">
        <f>_xlfn.XLOOKUP(tbl_cleaning[[#This Row],[Scheme/Estate]],[1]!tbl_survey[Scheme Name],[1]!tbl_survey[Internal],"Not rated")</f>
        <v>Not rated</v>
      </c>
      <c r="C370" s="403" t="e">
        <f t="array" ref="C370">IF(DATEVALUE([1]!tbl_survey[Date of inspection])&gt;DATEVALUE(B366),_xlfn.XLOOKUP(tbl_cleaning[[#This Row],[Scheme/Estate]],[1]!tbl_survey[Scheme Name],[1]!tbl_survey[Internal],"Not rated"),"Not rated")</f>
        <v>#VALUE!</v>
      </c>
      <c r="D370" s="432" t="s">
        <v>1375</v>
      </c>
      <c r="E370" s="450" t="s">
        <v>60</v>
      </c>
    </row>
    <row r="371" spans="1:5" ht="15" customHeight="1" x14ac:dyDescent="0.25">
      <c r="A371" s="462" t="s">
        <v>579</v>
      </c>
      <c r="B371" s="403" t="str">
        <f>_xlfn.XLOOKUP(tbl_cleaning[[#This Row],[Scheme/Estate]],[1]!tbl_survey[Scheme Name],[1]!tbl_survey[Internal],"Not rated")</f>
        <v>Not rated</v>
      </c>
      <c r="C371" s="403" t="e">
        <f t="array" ref="C371">IF(DATEVALUE([1]!tbl_survey[Date of inspection])&gt;DATEVALUE(B367),_xlfn.XLOOKUP(tbl_cleaning[[#This Row],[Scheme/Estate]],[1]!tbl_survey[Scheme Name],[1]!tbl_survey[Internal],"Not rated"),"Not rated")</f>
        <v>#VALUE!</v>
      </c>
      <c r="D371" s="432" t="s">
        <v>1372</v>
      </c>
      <c r="E371" s="446" t="s">
        <v>60</v>
      </c>
    </row>
    <row r="372" spans="1:5" ht="15" customHeight="1" x14ac:dyDescent="0.25">
      <c r="A372" s="487" t="s">
        <v>580</v>
      </c>
      <c r="B372" s="403" t="str">
        <f>_xlfn.XLOOKUP(tbl_cleaning[[#This Row],[Scheme/Estate]],[1]!tbl_survey[Scheme Name],[1]!tbl_survey[Internal],"Not rated")</f>
        <v>Not rated</v>
      </c>
      <c r="C372" s="403" t="e">
        <f t="array" ref="C372">IF(DATEVALUE([1]!tbl_survey[Date of inspection])&gt;DATEVALUE(B368),_xlfn.XLOOKUP(tbl_cleaning[[#This Row],[Scheme/Estate]],[1]!tbl_survey[Scheme Name],[1]!tbl_survey[Internal],"Not rated"),"Not rated")</f>
        <v>#VALUE!</v>
      </c>
      <c r="D372" s="432" t="s">
        <v>1375</v>
      </c>
      <c r="E372" s="154" t="s">
        <v>60</v>
      </c>
    </row>
    <row r="373" spans="1:5" ht="15" customHeight="1" x14ac:dyDescent="0.25">
      <c r="A373" s="463" t="s">
        <v>581</v>
      </c>
      <c r="B373" s="403" t="str">
        <f>_xlfn.XLOOKUP(tbl_cleaning[[#This Row],[Scheme/Estate]],[1]!tbl_survey[Scheme Name],[1]!tbl_survey[Internal],"Not rated")</f>
        <v>Not rated</v>
      </c>
      <c r="C373" s="403" t="e">
        <f t="array" ref="C373">IF(DATEVALUE([1]!tbl_survey[Date of inspection])&gt;DATEVALUE(B369),_xlfn.XLOOKUP(tbl_cleaning[[#This Row],[Scheme/Estate]],[1]!tbl_survey[Scheme Name],[1]!tbl_survey[Internal],"Not rated"),"Not rated")</f>
        <v>#VALUE!</v>
      </c>
      <c r="D373" s="432" t="s">
        <v>1379</v>
      </c>
      <c r="E373" s="450" t="s">
        <v>58</v>
      </c>
    </row>
    <row r="374" spans="1:5" ht="15" customHeight="1" x14ac:dyDescent="0.25">
      <c r="A374" s="391" t="s">
        <v>582</v>
      </c>
      <c r="B374" s="403" t="str">
        <f>_xlfn.XLOOKUP(tbl_cleaning[[#This Row],[Scheme/Estate]],[1]!tbl_survey[Scheme Name],[1]!tbl_survey[Internal],"Not rated")</f>
        <v>Not rated</v>
      </c>
      <c r="C374" s="403" t="e">
        <f t="array" ref="C374">IF(DATEVALUE([1]!tbl_survey[Date of inspection])&gt;DATEVALUE(B370),_xlfn.XLOOKUP(tbl_cleaning[[#This Row],[Scheme/Estate]],[1]!tbl_survey[Scheme Name],[1]!tbl_survey[Internal],"Not rated"),"Not rated")</f>
        <v>#VALUE!</v>
      </c>
      <c r="D374" s="432" t="s">
        <v>1363</v>
      </c>
      <c r="E374" s="447" t="s">
        <v>58</v>
      </c>
    </row>
    <row r="375" spans="1:5" ht="15" customHeight="1" x14ac:dyDescent="0.25">
      <c r="A375" s="463" t="s">
        <v>583</v>
      </c>
      <c r="B375" s="403">
        <f>_xlfn.XLOOKUP(tbl_cleaning[[#This Row],[Scheme/Estate]],[1]!tbl_survey[Scheme Name],[1]!tbl_survey[Internal],"Not rated")</f>
        <v>3</v>
      </c>
      <c r="C375" s="403" t="e">
        <f t="array" ref="C375">IF(DATEVALUE([1]!tbl_survey[Date of inspection])&gt;DATEVALUE(B371),_xlfn.XLOOKUP(tbl_cleaning[[#This Row],[Scheme/Estate]],[1]!tbl_survey[Scheme Name],[1]!tbl_survey[Internal],"Not rated"),"Not rated")</f>
        <v>#VALUE!</v>
      </c>
      <c r="D375" s="432" t="s">
        <v>1363</v>
      </c>
      <c r="E375" s="447" t="s">
        <v>58</v>
      </c>
    </row>
    <row r="376" spans="1:5" ht="15" customHeight="1" x14ac:dyDescent="0.25">
      <c r="A376" s="467" t="s">
        <v>584</v>
      </c>
      <c r="B376" s="403" t="str">
        <f>_xlfn.XLOOKUP(tbl_cleaning[[#This Row],[Scheme/Estate]],[1]!tbl_survey[Scheme Name],[1]!tbl_survey[Internal],"Not rated")</f>
        <v>Not rated</v>
      </c>
      <c r="C376" s="403" t="e">
        <f t="array" ref="C376">IF(DATEVALUE([1]!tbl_survey[Date of inspection])&gt;DATEVALUE(B372),_xlfn.XLOOKUP(tbl_cleaning[[#This Row],[Scheme/Estate]],[1]!tbl_survey[Scheme Name],[1]!tbl_survey[Internal],"Not rated"),"Not rated")</f>
        <v>#VALUE!</v>
      </c>
      <c r="D376" s="432" t="s">
        <v>1364</v>
      </c>
      <c r="E376" s="446" t="s">
        <v>60</v>
      </c>
    </row>
    <row r="377" spans="1:5" ht="15" customHeight="1" x14ac:dyDescent="0.25">
      <c r="A377" s="462" t="s">
        <v>585</v>
      </c>
      <c r="B377" s="403" t="str">
        <f>_xlfn.XLOOKUP(tbl_cleaning[[#This Row],[Scheme/Estate]],[1]!tbl_survey[Scheme Name],[1]!tbl_survey[Internal],"Not rated")</f>
        <v>Not rated</v>
      </c>
      <c r="C377" s="403" t="e">
        <f t="array" ref="C377">IF(DATEVALUE([1]!tbl_survey[Date of inspection])&gt;DATEVALUE(B373),_xlfn.XLOOKUP(tbl_cleaning[[#This Row],[Scheme/Estate]],[1]!tbl_survey[Scheme Name],[1]!tbl_survey[Internal],"Not rated"),"Not rated")</f>
        <v>#VALUE!</v>
      </c>
      <c r="D377" s="432" t="s">
        <v>1378</v>
      </c>
      <c r="E377" s="443" t="s">
        <v>87</v>
      </c>
    </row>
    <row r="378" spans="1:5" ht="15" customHeight="1" x14ac:dyDescent="0.25">
      <c r="A378" s="462" t="s">
        <v>586</v>
      </c>
      <c r="B378" s="403" t="str">
        <f>_xlfn.XLOOKUP(tbl_cleaning[[#This Row],[Scheme/Estate]],[1]!tbl_survey[Scheme Name],[1]!tbl_survey[Internal],"Not rated")</f>
        <v>Not rated</v>
      </c>
      <c r="C378" s="403" t="e">
        <f t="array" ref="C378">IF(DATEVALUE([1]!tbl_survey[Date of inspection])&gt;DATEVALUE(B374),_xlfn.XLOOKUP(tbl_cleaning[[#This Row],[Scheme/Estate]],[1]!tbl_survey[Scheme Name],[1]!tbl_survey[Internal],"Not rated"),"Not rated")</f>
        <v>#VALUE!</v>
      </c>
      <c r="D378" s="432" t="s">
        <v>1383</v>
      </c>
      <c r="E378" s="443" t="s">
        <v>87</v>
      </c>
    </row>
    <row r="379" spans="1:5" ht="15" customHeight="1" x14ac:dyDescent="0.25">
      <c r="A379" s="462" t="s">
        <v>587</v>
      </c>
      <c r="B379" s="403" t="str">
        <f>_xlfn.XLOOKUP(tbl_cleaning[[#This Row],[Scheme/Estate]],[1]!tbl_survey[Scheme Name],[1]!tbl_survey[Internal],"Not rated")</f>
        <v>Not rated</v>
      </c>
      <c r="C379" s="403" t="e">
        <f t="array" ref="C379">IF(DATEVALUE([1]!tbl_survey[Date of inspection])&gt;DATEVALUE(B375),_xlfn.XLOOKUP(tbl_cleaning[[#This Row],[Scheme/Estate]],[1]!tbl_survey[Scheme Name],[1]!tbl_survey[Internal],"Not rated"),"Not rated")</f>
        <v>#VALUE!</v>
      </c>
      <c r="D379" s="432" t="s">
        <v>1383</v>
      </c>
      <c r="E379" s="451" t="s">
        <v>87</v>
      </c>
    </row>
    <row r="380" spans="1:5" ht="15" customHeight="1" x14ac:dyDescent="0.25">
      <c r="A380" s="483" t="s">
        <v>588</v>
      </c>
      <c r="B380" s="403" t="str">
        <f>_xlfn.XLOOKUP(tbl_cleaning[[#This Row],[Scheme/Estate]],[1]!tbl_survey[Scheme Name],[1]!tbl_survey[Internal],"Not rated")</f>
        <v>Not rated</v>
      </c>
      <c r="C380" s="403" t="e">
        <f t="array" ref="C380">IF(DATEVALUE([1]!tbl_survey[Date of inspection])&gt;DATEVALUE(B376),_xlfn.XLOOKUP(tbl_cleaning[[#This Row],[Scheme/Estate]],[1]!tbl_survey[Scheme Name],[1]!tbl_survey[Internal],"Not rated"),"Not rated")</f>
        <v>#VALUE!</v>
      </c>
      <c r="D380" s="432" t="s">
        <v>1368</v>
      </c>
      <c r="E380" s="154" t="s">
        <v>60</v>
      </c>
    </row>
    <row r="381" spans="1:5" ht="15" customHeight="1" x14ac:dyDescent="0.25">
      <c r="A381" s="483" t="s">
        <v>590</v>
      </c>
      <c r="B381" s="403" t="str">
        <f>_xlfn.XLOOKUP(tbl_cleaning[[#This Row],[Scheme/Estate]],[1]!tbl_survey[Scheme Name],[1]!tbl_survey[Internal],"Not rated")</f>
        <v>Not rated</v>
      </c>
      <c r="C381" s="403" t="e">
        <f t="array" ref="C381">IF(DATEVALUE([1]!tbl_survey[Date of inspection])&gt;DATEVALUE(B377),_xlfn.XLOOKUP(tbl_cleaning[[#This Row],[Scheme/Estate]],[1]!tbl_survey[Scheme Name],[1]!tbl_survey[Internal],"Not rated"),"Not rated")</f>
        <v>#VALUE!</v>
      </c>
      <c r="D381" s="432" t="s">
        <v>1368</v>
      </c>
      <c r="E381" s="449" t="s">
        <v>60</v>
      </c>
    </row>
    <row r="382" spans="1:5" ht="15" customHeight="1" x14ac:dyDescent="0.25">
      <c r="A382" s="391" t="s">
        <v>591</v>
      </c>
      <c r="B382" s="403" t="str">
        <f>_xlfn.XLOOKUP(tbl_cleaning[[#This Row],[Scheme/Estate]],[1]!tbl_survey[Scheme Name],[1]!tbl_survey[Internal],"Not rated")</f>
        <v>Not rated</v>
      </c>
      <c r="C382" s="403" t="e">
        <f t="array" ref="C382">IF(DATEVALUE([1]!tbl_survey[Date of inspection])&gt;DATEVALUE(B378),_xlfn.XLOOKUP(tbl_cleaning[[#This Row],[Scheme/Estate]],[1]!tbl_survey[Scheme Name],[1]!tbl_survey[Internal],"Not rated"),"Not rated")</f>
        <v>#VALUE!</v>
      </c>
      <c r="D382" s="432" t="s">
        <v>1379</v>
      </c>
      <c r="E382" s="154" t="s">
        <v>58</v>
      </c>
    </row>
    <row r="383" spans="1:5" ht="15" customHeight="1" x14ac:dyDescent="0.25">
      <c r="A383" s="463" t="s">
        <v>592</v>
      </c>
      <c r="B383" s="403" t="str">
        <f>_xlfn.XLOOKUP(tbl_cleaning[[#This Row],[Scheme/Estate]],[1]!tbl_survey[Scheme Name],[1]!tbl_survey[Internal],"Not rated")</f>
        <v>Not rated</v>
      </c>
      <c r="C383" s="403" t="e">
        <f t="array" ref="C383">IF(DATEVALUE([1]!tbl_survey[Date of inspection])&gt;DATEVALUE(B379),_xlfn.XLOOKUP(tbl_cleaning[[#This Row],[Scheme/Estate]],[1]!tbl_survey[Scheme Name],[1]!tbl_survey[Internal],"Not rated"),"Not rated")</f>
        <v>#VALUE!</v>
      </c>
      <c r="D383" s="432" t="s">
        <v>1382</v>
      </c>
      <c r="E383" s="450" t="s">
        <v>93</v>
      </c>
    </row>
    <row r="384" spans="1:5" ht="15" customHeight="1" x14ac:dyDescent="0.25">
      <c r="A384" s="463" t="s">
        <v>593</v>
      </c>
      <c r="B384" s="403" t="str">
        <f>_xlfn.XLOOKUP(tbl_cleaning[[#This Row],[Scheme/Estate]],[1]!tbl_survey[Scheme Name],[1]!tbl_survey[Internal],"Not rated")</f>
        <v>Not rated</v>
      </c>
      <c r="C384" s="403" t="e">
        <f t="array" ref="C384">IF(DATEVALUE([1]!tbl_survey[Date of inspection])&gt;DATEVALUE(B380),_xlfn.XLOOKUP(tbl_cleaning[[#This Row],[Scheme/Estate]],[1]!tbl_survey[Scheme Name],[1]!tbl_survey[Internal],"Not rated"),"Not rated")</f>
        <v>#VALUE!</v>
      </c>
      <c r="D384" s="432" t="s">
        <v>1365</v>
      </c>
      <c r="E384" s="447" t="s">
        <v>87</v>
      </c>
    </row>
    <row r="385" spans="1:5" ht="15" customHeight="1" x14ac:dyDescent="0.25">
      <c r="A385" s="463" t="s">
        <v>596</v>
      </c>
      <c r="B385" s="403">
        <f>_xlfn.XLOOKUP(tbl_cleaning[[#This Row],[Scheme/Estate]],[1]!tbl_survey[Scheme Name],[1]!tbl_survey[Internal],"Not rated")</f>
        <v>3</v>
      </c>
      <c r="C385" s="403" t="e">
        <f t="array" ref="C385">IF(DATEVALUE([1]!tbl_survey[Date of inspection])&gt;DATEVALUE(B381),_xlfn.XLOOKUP(tbl_cleaning[[#This Row],[Scheme/Estate]],[1]!tbl_survey[Scheme Name],[1]!tbl_survey[Internal],"Not rated"),"Not rated")</f>
        <v>#VALUE!</v>
      </c>
      <c r="D385" s="432" t="s">
        <v>1379</v>
      </c>
      <c r="E385" s="446" t="s">
        <v>58</v>
      </c>
    </row>
    <row r="386" spans="1:5" ht="15" customHeight="1" x14ac:dyDescent="0.25">
      <c r="A386" s="467" t="s">
        <v>1449</v>
      </c>
      <c r="B386" s="403" t="str">
        <f>_xlfn.XLOOKUP(tbl_cleaning[[#This Row],[Scheme/Estate]],[1]!tbl_survey[Scheme Name],[1]!tbl_survey[Internal],"Not rated")</f>
        <v>Not rated</v>
      </c>
      <c r="C386" s="403" t="e">
        <f t="array" ref="C386">IF(DATEVALUE([1]!tbl_survey[Date of inspection])&gt;DATEVALUE(B382),_xlfn.XLOOKUP(tbl_cleaning[[#This Row],[Scheme/Estate]],[1]!tbl_survey[Scheme Name],[1]!tbl_survey[Internal],"Not rated"),"Not rated")</f>
        <v>#VALUE!</v>
      </c>
      <c r="D386" s="432" t="s">
        <v>1365</v>
      </c>
      <c r="E386" s="443" t="s">
        <v>87</v>
      </c>
    </row>
    <row r="387" spans="1:5" ht="15" customHeight="1" x14ac:dyDescent="0.25">
      <c r="A387" s="488" t="s">
        <v>1339</v>
      </c>
      <c r="B387" s="403">
        <f>_xlfn.XLOOKUP(tbl_cleaning[[#This Row],[Scheme/Estate]],[1]!tbl_survey[Scheme Name],[1]!tbl_survey[Internal],"Not rated")</f>
        <v>4</v>
      </c>
      <c r="C387" s="403" t="e">
        <f t="array" ref="C387">IF(DATEVALUE([1]!tbl_survey[Date of inspection])&gt;DATEVALUE(B383),_xlfn.XLOOKUP(tbl_cleaning[[#This Row],[Scheme/Estate]],[1]!tbl_survey[Scheme Name],[1]!tbl_survey[Internal],"Not rated"),"Not rated")</f>
        <v>#VALUE!</v>
      </c>
      <c r="D387" s="432" t="s">
        <v>1383</v>
      </c>
      <c r="E387" s="451" t="s">
        <v>87</v>
      </c>
    </row>
    <row r="388" spans="1:5" ht="15" customHeight="1" x14ac:dyDescent="0.25">
      <c r="A388" s="463" t="s">
        <v>600</v>
      </c>
      <c r="B388" s="403" t="str">
        <f>_xlfn.XLOOKUP(tbl_cleaning[[#This Row],[Scheme/Estate]],[1]!tbl_survey[Scheme Name],[1]!tbl_survey[Internal],"Not rated")</f>
        <v>Not rated</v>
      </c>
      <c r="C388" s="403" t="e">
        <f t="array" ref="C388">IF(DATEVALUE([1]!tbl_survey[Date of inspection])&gt;DATEVALUE(B384),_xlfn.XLOOKUP(tbl_cleaning[[#This Row],[Scheme/Estate]],[1]!tbl_survey[Scheme Name],[1]!tbl_survey[Internal],"Not rated"),"Not rated")</f>
        <v>#VALUE!</v>
      </c>
      <c r="D388" s="432" t="s">
        <v>1388</v>
      </c>
      <c r="E388" s="154" t="s">
        <v>93</v>
      </c>
    </row>
    <row r="389" spans="1:5" ht="15" customHeight="1" x14ac:dyDescent="0.25">
      <c r="A389" s="463" t="s">
        <v>601</v>
      </c>
      <c r="B389" s="403" t="str">
        <f>_xlfn.XLOOKUP(tbl_cleaning[[#This Row],[Scheme/Estate]],[1]!tbl_survey[Scheme Name],[1]!tbl_survey[Internal],"Not rated")</f>
        <v>Not rated</v>
      </c>
      <c r="C389" s="403" t="e">
        <f t="array" ref="C389">IF(DATEVALUE([1]!tbl_survey[Date of inspection])&gt;DATEVALUE(B385),_xlfn.XLOOKUP(tbl_cleaning[[#This Row],[Scheme/Estate]],[1]!tbl_survey[Scheme Name],[1]!tbl_survey[Internal],"Not rated"),"Not rated")</f>
        <v>#VALUE!</v>
      </c>
      <c r="D389" s="432" t="s">
        <v>1379</v>
      </c>
      <c r="E389" s="450" t="s">
        <v>58</v>
      </c>
    </row>
    <row r="390" spans="1:5" ht="15" customHeight="1" x14ac:dyDescent="0.25">
      <c r="A390" s="391" t="s">
        <v>602</v>
      </c>
      <c r="B390" s="403" t="str">
        <f>_xlfn.XLOOKUP(tbl_cleaning[[#This Row],[Scheme/Estate]],[1]!tbl_survey[Scheme Name],[1]!tbl_survey[Internal],"Not rated")</f>
        <v>Not rated</v>
      </c>
      <c r="C390" s="403" t="e">
        <f t="array" ref="C390">IF(DATEVALUE([1]!tbl_survey[Date of inspection])&gt;DATEVALUE(B386),_xlfn.XLOOKUP(tbl_cleaning[[#This Row],[Scheme/Estate]],[1]!tbl_survey[Scheme Name],[1]!tbl_survey[Internal],"Not rated"),"Not rated")</f>
        <v>#VALUE!</v>
      </c>
      <c r="D390" s="432" t="s">
        <v>1371</v>
      </c>
      <c r="E390" s="446" t="s">
        <v>58</v>
      </c>
    </row>
    <row r="391" spans="1:5" ht="15" customHeight="1" x14ac:dyDescent="0.25">
      <c r="A391" s="487" t="s">
        <v>603</v>
      </c>
      <c r="B391" s="403" t="str">
        <f>_xlfn.XLOOKUP(tbl_cleaning[[#This Row],[Scheme/Estate]],[1]!tbl_survey[Scheme Name],[1]!tbl_survey[Internal],"Not rated")</f>
        <v>Not rated</v>
      </c>
      <c r="C391" s="403" t="e">
        <f t="array" ref="C391">IF(DATEVALUE([1]!tbl_survey[Date of inspection])&gt;DATEVALUE(B387),_xlfn.XLOOKUP(tbl_cleaning[[#This Row],[Scheme/Estate]],[1]!tbl_survey[Scheme Name],[1]!tbl_survey[Internal],"Not rated"),"Not rated")</f>
        <v>#VALUE!</v>
      </c>
      <c r="D391" s="432" t="s">
        <v>1379</v>
      </c>
      <c r="E391" s="154" t="s">
        <v>58</v>
      </c>
    </row>
    <row r="392" spans="1:5" ht="15" customHeight="1" x14ac:dyDescent="0.25">
      <c r="A392" s="463" t="s">
        <v>604</v>
      </c>
      <c r="B392" s="403" t="str">
        <f>_xlfn.XLOOKUP(tbl_cleaning[[#This Row],[Scheme/Estate]],[1]!tbl_survey[Scheme Name],[1]!tbl_survey[Internal],"Not rated")</f>
        <v>Not rated</v>
      </c>
      <c r="C392" s="403" t="e">
        <f t="array" ref="C392">IF(DATEVALUE([1]!tbl_survey[Date of inspection])&gt;DATEVALUE(B388),_xlfn.XLOOKUP(tbl_cleaning[[#This Row],[Scheme/Estate]],[1]!tbl_survey[Scheme Name],[1]!tbl_survey[Internal],"Not rated"),"Not rated")</f>
        <v>#VALUE!</v>
      </c>
      <c r="D392" s="432" t="s">
        <v>1376</v>
      </c>
      <c r="E392" s="154" t="s">
        <v>60</v>
      </c>
    </row>
    <row r="393" spans="1:5" ht="15" customHeight="1" x14ac:dyDescent="0.25">
      <c r="A393" s="467" t="s">
        <v>1448</v>
      </c>
      <c r="B393" s="403" t="str">
        <f>_xlfn.XLOOKUP(tbl_cleaning[[#This Row],[Scheme/Estate]],[1]!tbl_survey[Scheme Name],[1]!tbl_survey[Internal],"Not rated")</f>
        <v>Not rated</v>
      </c>
      <c r="C393" s="403" t="e">
        <f t="array" ref="C393">IF(DATEVALUE([1]!tbl_survey[Date of inspection])&gt;DATEVALUE(B389),_xlfn.XLOOKUP(tbl_cleaning[[#This Row],[Scheme/Estate]],[1]!tbl_survey[Scheme Name],[1]!tbl_survey[Internal],"Not rated"),"Not rated")</f>
        <v>#VALUE!</v>
      </c>
      <c r="D393" s="432" t="s">
        <v>1378</v>
      </c>
      <c r="E393" s="443" t="s">
        <v>87</v>
      </c>
    </row>
    <row r="394" spans="1:5" ht="15" customHeight="1" x14ac:dyDescent="0.25">
      <c r="A394" s="467" t="s">
        <v>1447</v>
      </c>
      <c r="B394" s="403" t="str">
        <f>_xlfn.XLOOKUP(tbl_cleaning[[#This Row],[Scheme/Estate]],[1]!tbl_survey[Scheme Name],[1]!tbl_survey[Internal],"Not rated")</f>
        <v>Not rated</v>
      </c>
      <c r="C394" s="403" t="e">
        <f t="array" ref="C394">IF(DATEVALUE([1]!tbl_survey[Date of inspection])&gt;DATEVALUE(B390),_xlfn.XLOOKUP(tbl_cleaning[[#This Row],[Scheme/Estate]],[1]!tbl_survey[Scheme Name],[1]!tbl_survey[Internal],"Not rated"),"Not rated")</f>
        <v>#VALUE!</v>
      </c>
      <c r="D394" s="432" t="s">
        <v>1381</v>
      </c>
      <c r="E394" s="449" t="s">
        <v>60</v>
      </c>
    </row>
    <row r="395" spans="1:5" ht="15" customHeight="1" x14ac:dyDescent="0.25">
      <c r="A395" s="462" t="s">
        <v>612</v>
      </c>
      <c r="B395" s="403" t="str">
        <f>_xlfn.XLOOKUP(tbl_cleaning[[#This Row],[Scheme/Estate]],[1]!tbl_survey[Scheme Name],[1]!tbl_survey[Internal],"Not rated")</f>
        <v>Not rated</v>
      </c>
      <c r="C395" s="403" t="e">
        <f t="array" ref="C395">IF(DATEVALUE([1]!tbl_survey[Date of inspection])&gt;DATEVALUE(B391),_xlfn.XLOOKUP(tbl_cleaning[[#This Row],[Scheme/Estate]],[1]!tbl_survey[Scheme Name],[1]!tbl_survey[Internal],"Not rated"),"Not rated")</f>
        <v>#VALUE!</v>
      </c>
      <c r="D395" s="432" t="s">
        <v>1368</v>
      </c>
      <c r="E395" s="154" t="s">
        <v>60</v>
      </c>
    </row>
    <row r="396" spans="1:5" ht="15" customHeight="1" x14ac:dyDescent="0.25">
      <c r="A396" s="462" t="s">
        <v>613</v>
      </c>
      <c r="B396" s="403">
        <f>_xlfn.XLOOKUP(tbl_cleaning[[#This Row],[Scheme/Estate]],[1]!tbl_survey[Scheme Name],[1]!tbl_survey[Internal],"Not rated")</f>
        <v>4</v>
      </c>
      <c r="C396" s="403" t="e">
        <f t="array" ref="C396">IF(DATEVALUE([1]!tbl_survey[Date of inspection])&gt;DATEVALUE(B392),_xlfn.XLOOKUP(tbl_cleaning[[#This Row],[Scheme/Estate]],[1]!tbl_survey[Scheme Name],[1]!tbl_survey[Internal],"Not rated"),"Not rated")</f>
        <v>#VALUE!</v>
      </c>
      <c r="D396" s="432" t="s">
        <v>1368</v>
      </c>
      <c r="E396" s="450" t="s">
        <v>60</v>
      </c>
    </row>
    <row r="397" spans="1:5" ht="15" customHeight="1" x14ac:dyDescent="0.25">
      <c r="A397" s="462" t="s">
        <v>620</v>
      </c>
      <c r="B397" s="403" t="str">
        <f>_xlfn.XLOOKUP(tbl_cleaning[[#This Row],[Scheme/Estate]],[1]!tbl_survey[Scheme Name],[1]!tbl_survey[Internal],"Not rated")</f>
        <v>Not rated</v>
      </c>
      <c r="C397" s="403" t="e">
        <f t="array" ref="C397">IF(DATEVALUE([1]!tbl_survey[Date of inspection])&gt;DATEVALUE(B393),_xlfn.XLOOKUP(tbl_cleaning[[#This Row],[Scheme/Estate]],[1]!tbl_survey[Scheme Name],[1]!tbl_survey[Internal],"Not rated"),"Not rated")</f>
        <v>#VALUE!</v>
      </c>
      <c r="D397" s="432" t="s">
        <v>1368</v>
      </c>
      <c r="E397" s="447" t="s">
        <v>60</v>
      </c>
    </row>
    <row r="398" spans="1:5" ht="15" customHeight="1" x14ac:dyDescent="0.25">
      <c r="A398" s="462" t="s">
        <v>621</v>
      </c>
      <c r="B398" s="403" t="str">
        <f>_xlfn.XLOOKUP(tbl_cleaning[[#This Row],[Scheme/Estate]],[1]!tbl_survey[Scheme Name],[1]!tbl_survey[Internal],"Not rated")</f>
        <v>Not rated</v>
      </c>
      <c r="C398" s="403" t="e">
        <f t="array" ref="C398">IF(DATEVALUE([1]!tbl_survey[Date of inspection])&gt;DATEVALUE(B394),_xlfn.XLOOKUP(tbl_cleaning[[#This Row],[Scheme/Estate]],[1]!tbl_survey[Scheme Name],[1]!tbl_survey[Internal],"Not rated"),"Not rated")</f>
        <v>#VALUE!</v>
      </c>
      <c r="D398" s="432" t="s">
        <v>1378</v>
      </c>
      <c r="E398" s="448" t="s">
        <v>87</v>
      </c>
    </row>
    <row r="399" spans="1:5" ht="15" customHeight="1" x14ac:dyDescent="0.25">
      <c r="A399" s="462" t="s">
        <v>622</v>
      </c>
      <c r="B399" s="403" t="str">
        <f>_xlfn.XLOOKUP(tbl_cleaning[[#This Row],[Scheme/Estate]],[1]!tbl_survey[Scheme Name],[1]!tbl_survey[Internal],"Not rated")</f>
        <v>Not rated</v>
      </c>
      <c r="C399" s="403" t="e">
        <f t="array" ref="C399">IF(DATEVALUE([1]!tbl_survey[Date of inspection])&gt;DATEVALUE(B395),_xlfn.XLOOKUP(tbl_cleaning[[#This Row],[Scheme/Estate]],[1]!tbl_survey[Scheme Name],[1]!tbl_survey[Internal],"Not rated"),"Not rated")</f>
        <v>#VALUE!</v>
      </c>
      <c r="D399" s="432" t="s">
        <v>1380</v>
      </c>
      <c r="E399" s="447" t="s">
        <v>60</v>
      </c>
    </row>
    <row r="400" spans="1:5" ht="15" customHeight="1" x14ac:dyDescent="0.25">
      <c r="A400" s="462" t="s">
        <v>623</v>
      </c>
      <c r="B400" s="403" t="str">
        <f>_xlfn.XLOOKUP(tbl_cleaning[[#This Row],[Scheme/Estate]],[1]!tbl_survey[Scheme Name],[1]!tbl_survey[Internal],"Not rated")</f>
        <v>Not rated</v>
      </c>
      <c r="C400" s="403" t="e">
        <f t="array" ref="C400">IF(DATEVALUE([1]!tbl_survey[Date of inspection])&gt;DATEVALUE(B396),_xlfn.XLOOKUP(tbl_cleaning[[#This Row],[Scheme/Estate]],[1]!tbl_survey[Scheme Name],[1]!tbl_survey[Internal],"Not rated"),"Not rated")</f>
        <v>#VALUE!</v>
      </c>
      <c r="D400" s="432" t="s">
        <v>1366</v>
      </c>
      <c r="E400" s="452" t="s">
        <v>87</v>
      </c>
    </row>
    <row r="401" spans="1:5" ht="15" customHeight="1" x14ac:dyDescent="0.25">
      <c r="A401" s="462" t="s">
        <v>625</v>
      </c>
      <c r="B401" s="403" t="str">
        <f>_xlfn.XLOOKUP(tbl_cleaning[[#This Row],[Scheme/Estate]],[1]!tbl_survey[Scheme Name],[1]!tbl_survey[Internal],"Not rated")</f>
        <v>Not rated</v>
      </c>
      <c r="C401" s="403" t="e">
        <f t="array" ref="C401">IF(DATEVALUE([1]!tbl_survey[Date of inspection])&gt;DATEVALUE(B397),_xlfn.XLOOKUP(tbl_cleaning[[#This Row],[Scheme/Estate]],[1]!tbl_survey[Scheme Name],[1]!tbl_survey[Internal],"Not rated"),"Not rated")</f>
        <v>#VALUE!</v>
      </c>
      <c r="D401" s="432" t="s">
        <v>1383</v>
      </c>
      <c r="E401" s="443" t="s">
        <v>87</v>
      </c>
    </row>
    <row r="402" spans="1:5" ht="15" customHeight="1" x14ac:dyDescent="0.25">
      <c r="A402" s="470" t="s">
        <v>626</v>
      </c>
      <c r="B402" s="403" t="str">
        <f>_xlfn.XLOOKUP(tbl_cleaning[[#This Row],[Scheme/Estate]],[1]!tbl_survey[Scheme Name],[1]!tbl_survey[Internal],"Not rated")</f>
        <v>Not rated</v>
      </c>
      <c r="C402" s="403" t="e">
        <f t="array" ref="C402">IF(DATEVALUE([1]!tbl_survey[Date of inspection])&gt;DATEVALUE(B398),_xlfn.XLOOKUP(tbl_cleaning[[#This Row],[Scheme/Estate]],[1]!tbl_survey[Scheme Name],[1]!tbl_survey[Internal],"Not rated"),"Not rated")</f>
        <v>#VALUE!</v>
      </c>
      <c r="D402" s="432" t="s">
        <v>1365</v>
      </c>
      <c r="E402" s="443" t="s">
        <v>87</v>
      </c>
    </row>
    <row r="403" spans="1:5" ht="15" customHeight="1" x14ac:dyDescent="0.25">
      <c r="A403" s="462" t="s">
        <v>627</v>
      </c>
      <c r="B403" s="403" t="str">
        <f>_xlfn.XLOOKUP(tbl_cleaning[[#This Row],[Scheme/Estate]],[1]!tbl_survey[Scheme Name],[1]!tbl_survey[Internal],"Not rated")</f>
        <v>Not rated</v>
      </c>
      <c r="C403" s="403" t="e">
        <f t="array" ref="C403">IF(DATEVALUE([1]!tbl_survey[Date of inspection])&gt;DATEVALUE(B399),_xlfn.XLOOKUP(tbl_cleaning[[#This Row],[Scheme/Estate]],[1]!tbl_survey[Scheme Name],[1]!tbl_survey[Internal],"Not rated"),"Not rated")</f>
        <v>#VALUE!</v>
      </c>
      <c r="D403" s="432" t="s">
        <v>1365</v>
      </c>
      <c r="E403" s="443" t="s">
        <v>87</v>
      </c>
    </row>
    <row r="404" spans="1:5" ht="15" customHeight="1" x14ac:dyDescent="0.25">
      <c r="A404" s="464" t="s">
        <v>628</v>
      </c>
      <c r="B404" s="403" t="str">
        <f>_xlfn.XLOOKUP(tbl_cleaning[[#This Row],[Scheme/Estate]],[1]!tbl_survey[Scheme Name],[1]!tbl_survey[Internal],"Not rated")</f>
        <v>Not rated</v>
      </c>
      <c r="C404" s="403" t="e">
        <f t="array" ref="C404">IF(DATEVALUE([1]!tbl_survey[Date of inspection])&gt;DATEVALUE(B400),_xlfn.XLOOKUP(tbl_cleaning[[#This Row],[Scheme/Estate]],[1]!tbl_survey[Scheme Name],[1]!tbl_survey[Internal],"Not rated"),"Not rated")</f>
        <v>#VALUE!</v>
      </c>
      <c r="D404" s="432" t="s">
        <v>1376</v>
      </c>
      <c r="E404" s="154" t="s">
        <v>60</v>
      </c>
    </row>
    <row r="405" spans="1:5" ht="15" customHeight="1" x14ac:dyDescent="0.25">
      <c r="A405" s="463" t="s">
        <v>629</v>
      </c>
      <c r="B405" s="403" t="str">
        <f>_xlfn.XLOOKUP(tbl_cleaning[[#This Row],[Scheme/Estate]],[1]!tbl_survey[Scheme Name],[1]!tbl_survey[Internal],"Not rated")</f>
        <v>Not rated</v>
      </c>
      <c r="C405" s="403" t="e">
        <f t="array" ref="C405">IF(DATEVALUE([1]!tbl_survey[Date of inspection])&gt;DATEVALUE(B401),_xlfn.XLOOKUP(tbl_cleaning[[#This Row],[Scheme/Estate]],[1]!tbl_survey[Scheme Name],[1]!tbl_survey[Internal],"Not rated"),"Not rated")</f>
        <v>#VALUE!</v>
      </c>
      <c r="D405" s="432" t="s">
        <v>1370</v>
      </c>
      <c r="E405" s="154" t="s">
        <v>93</v>
      </c>
    </row>
    <row r="406" spans="1:5" ht="15" customHeight="1" x14ac:dyDescent="0.25">
      <c r="A406" s="463" t="s">
        <v>631</v>
      </c>
      <c r="B406" s="403" t="str">
        <f>_xlfn.XLOOKUP(tbl_cleaning[[#This Row],[Scheme/Estate]],[1]!tbl_survey[Scheme Name],[1]!tbl_survey[Internal],"Not rated")</f>
        <v>Not rated</v>
      </c>
      <c r="C406" s="403" t="e">
        <f t="array" ref="C406">IF(DATEVALUE([1]!tbl_survey[Date of inspection])&gt;DATEVALUE(B402),_xlfn.XLOOKUP(tbl_cleaning[[#This Row],[Scheme/Estate]],[1]!tbl_survey[Scheme Name],[1]!tbl_survey[Internal],"Not rated"),"Not rated")</f>
        <v>#VALUE!</v>
      </c>
      <c r="D406" s="432" t="s">
        <v>1383</v>
      </c>
      <c r="E406" s="154" t="s">
        <v>87</v>
      </c>
    </row>
    <row r="407" spans="1:5" ht="15" customHeight="1" x14ac:dyDescent="0.25">
      <c r="A407" s="391" t="s">
        <v>633</v>
      </c>
      <c r="B407" s="403" t="str">
        <f>_xlfn.XLOOKUP(tbl_cleaning[[#This Row],[Scheme/Estate]],[1]!tbl_survey[Scheme Name],[1]!tbl_survey[Internal],"Not rated")</f>
        <v>Not rated</v>
      </c>
      <c r="C407" s="403" t="e">
        <f t="array" ref="C407">IF(DATEVALUE([1]!tbl_survey[Date of inspection])&gt;DATEVALUE(B403),_xlfn.XLOOKUP(tbl_cleaning[[#This Row],[Scheme/Estate]],[1]!tbl_survey[Scheme Name],[1]!tbl_survey[Internal],"Not rated"),"Not rated")</f>
        <v>#VALUE!</v>
      </c>
      <c r="D407" s="432" t="s">
        <v>1363</v>
      </c>
      <c r="E407" s="154" t="s">
        <v>58</v>
      </c>
    </row>
    <row r="408" spans="1:5" ht="15" customHeight="1" x14ac:dyDescent="0.25">
      <c r="A408" s="462" t="s">
        <v>634</v>
      </c>
      <c r="B408" s="403" t="str">
        <f>_xlfn.XLOOKUP(tbl_cleaning[[#This Row],[Scheme/Estate]],[1]!tbl_survey[Scheme Name],[1]!tbl_survey[Internal],"Not rated")</f>
        <v>Not rated</v>
      </c>
      <c r="C408" s="403" t="e">
        <f t="array" ref="C408">IF(DATEVALUE([1]!tbl_survey[Date of inspection])&gt;DATEVALUE(B404),_xlfn.XLOOKUP(tbl_cleaning[[#This Row],[Scheme/Estate]],[1]!tbl_survey[Scheme Name],[1]!tbl_survey[Internal],"Not rated"),"Not rated")</f>
        <v>#VALUE!</v>
      </c>
      <c r="D408" s="432" t="s">
        <v>1364</v>
      </c>
      <c r="E408" s="450" t="s">
        <v>60</v>
      </c>
    </row>
    <row r="409" spans="1:5" ht="15" customHeight="1" x14ac:dyDescent="0.25">
      <c r="A409" s="463" t="s">
        <v>635</v>
      </c>
      <c r="B409" s="403" t="str">
        <f>_xlfn.XLOOKUP(tbl_cleaning[[#This Row],[Scheme/Estate]],[1]!tbl_survey[Scheme Name],[1]!tbl_survey[Internal],"Not rated")</f>
        <v>Not rated</v>
      </c>
      <c r="C409" s="403" t="e">
        <f t="array" ref="C409">IF(DATEVALUE([1]!tbl_survey[Date of inspection])&gt;DATEVALUE(B405),_xlfn.XLOOKUP(tbl_cleaning[[#This Row],[Scheme/Estate]],[1]!tbl_survey[Scheme Name],[1]!tbl_survey[Internal],"Not rated"),"Not rated")</f>
        <v>#VALUE!</v>
      </c>
      <c r="D409" s="432" t="s">
        <v>1372</v>
      </c>
      <c r="E409" s="446" t="s">
        <v>60</v>
      </c>
    </row>
    <row r="410" spans="1:5" ht="15" customHeight="1" x14ac:dyDescent="0.25">
      <c r="A410" s="470" t="s">
        <v>637</v>
      </c>
      <c r="B410" s="403" t="str">
        <f>_xlfn.XLOOKUP(tbl_cleaning[[#This Row],[Scheme/Estate]],[1]!tbl_survey[Scheme Name],[1]!tbl_survey[Internal],"Not rated")</f>
        <v>Not rated</v>
      </c>
      <c r="C410" s="403" t="e">
        <f t="array" ref="C410">IF(DATEVALUE([1]!tbl_survey[Date of inspection])&gt;DATEVALUE(B406),_xlfn.XLOOKUP(tbl_cleaning[[#This Row],[Scheme/Estate]],[1]!tbl_survey[Scheme Name],[1]!tbl_survey[Internal],"Not rated"),"Not rated")</f>
        <v>#VALUE!</v>
      </c>
      <c r="D410" s="432" t="s">
        <v>1365</v>
      </c>
      <c r="E410" s="443" t="s">
        <v>87</v>
      </c>
    </row>
    <row r="411" spans="1:5" ht="15" customHeight="1" x14ac:dyDescent="0.25">
      <c r="A411" s="463" t="s">
        <v>639</v>
      </c>
      <c r="B411" s="403">
        <f>_xlfn.XLOOKUP(tbl_cleaning[[#This Row],[Scheme/Estate]],[1]!tbl_survey[Scheme Name],[1]!tbl_survey[Internal],"Not rated")</f>
        <v>3</v>
      </c>
      <c r="C411" s="403" t="e">
        <f t="array" ref="C411">IF(DATEVALUE([1]!tbl_survey[Date of inspection])&gt;DATEVALUE(B407),_xlfn.XLOOKUP(tbl_cleaning[[#This Row],[Scheme/Estate]],[1]!tbl_survey[Scheme Name],[1]!tbl_survey[Internal],"Not rated"),"Not rated")</f>
        <v>#VALUE!</v>
      </c>
      <c r="D411" s="432" t="s">
        <v>1386</v>
      </c>
      <c r="E411" s="154" t="s">
        <v>93</v>
      </c>
    </row>
    <row r="412" spans="1:5" ht="15" customHeight="1" x14ac:dyDescent="0.25">
      <c r="A412" s="463" t="s">
        <v>640</v>
      </c>
      <c r="B412" s="403">
        <f>_xlfn.XLOOKUP(tbl_cleaning[[#This Row],[Scheme/Estate]],[1]!tbl_survey[Scheme Name],[1]!tbl_survey[Internal],"Not rated")</f>
        <v>3</v>
      </c>
      <c r="C412" s="403" t="e">
        <f t="array" ref="C412">IF(DATEVALUE([1]!tbl_survey[Date of inspection])&gt;DATEVALUE(B408),_xlfn.XLOOKUP(tbl_cleaning[[#This Row],[Scheme/Estate]],[1]!tbl_survey[Scheme Name],[1]!tbl_survey[Internal],"Not rated"),"Not rated")</f>
        <v>#VALUE!</v>
      </c>
      <c r="D412" s="432" t="s">
        <v>1368</v>
      </c>
      <c r="E412" s="154" t="s">
        <v>60</v>
      </c>
    </row>
    <row r="413" spans="1:5" ht="15" customHeight="1" x14ac:dyDescent="0.25">
      <c r="A413" s="463" t="s">
        <v>643</v>
      </c>
      <c r="B413" s="403" t="str">
        <f>_xlfn.XLOOKUP(tbl_cleaning[[#This Row],[Scheme/Estate]],[1]!tbl_survey[Scheme Name],[1]!tbl_survey[Internal],"Not rated")</f>
        <v>Not rated</v>
      </c>
      <c r="C413" s="403" t="e">
        <f t="array" ref="C413">IF(DATEVALUE([1]!tbl_survey[Date of inspection])&gt;DATEVALUE(B409),_xlfn.XLOOKUP(tbl_cleaning[[#This Row],[Scheme/Estate]],[1]!tbl_survey[Scheme Name],[1]!tbl_survey[Internal],"Not rated"),"Not rated")</f>
        <v>#VALUE!</v>
      </c>
      <c r="D413" s="432" t="s">
        <v>1381</v>
      </c>
      <c r="E413" s="449" t="s">
        <v>60</v>
      </c>
    </row>
    <row r="414" spans="1:5" ht="15" customHeight="1" x14ac:dyDescent="0.25">
      <c r="A414" s="464" t="s">
        <v>644</v>
      </c>
      <c r="B414" s="403" t="str">
        <f>_xlfn.XLOOKUP(tbl_cleaning[[#This Row],[Scheme/Estate]],[1]!tbl_survey[Scheme Name],[1]!tbl_survey[Internal],"Not rated")</f>
        <v>Not rated</v>
      </c>
      <c r="C414" s="403" t="e">
        <f t="array" ref="C414">IF(DATEVALUE([1]!tbl_survey[Date of inspection])&gt;DATEVALUE(B410),_xlfn.XLOOKUP(tbl_cleaning[[#This Row],[Scheme/Estate]],[1]!tbl_survey[Scheme Name],[1]!tbl_survey[Internal],"Not rated"),"Not rated")</f>
        <v>#VALUE!</v>
      </c>
      <c r="D414" s="432" t="s">
        <v>1363</v>
      </c>
      <c r="E414" s="154" t="s">
        <v>58</v>
      </c>
    </row>
    <row r="415" spans="1:5" ht="15" customHeight="1" x14ac:dyDescent="0.25">
      <c r="A415" s="470" t="s">
        <v>645</v>
      </c>
      <c r="B415" s="403" t="str">
        <f>_xlfn.XLOOKUP(tbl_cleaning[[#This Row],[Scheme/Estate]],[1]!tbl_survey[Scheme Name],[1]!tbl_survey[Internal],"Not rated")</f>
        <v>Not rated</v>
      </c>
      <c r="C415" s="403" t="e">
        <f t="array" ref="C415">IF(DATEVALUE([1]!tbl_survey[Date of inspection])&gt;DATEVALUE(B411),_xlfn.XLOOKUP(tbl_cleaning[[#This Row],[Scheme/Estate]],[1]!tbl_survey[Scheme Name],[1]!tbl_survey[Internal],"Not rated"),"Not rated")</f>
        <v>#VALUE!</v>
      </c>
      <c r="D415" s="432" t="s">
        <v>1378</v>
      </c>
      <c r="E415" s="443" t="s">
        <v>87</v>
      </c>
    </row>
    <row r="416" spans="1:5" ht="15" customHeight="1" x14ac:dyDescent="0.25">
      <c r="A416" s="467" t="s">
        <v>1446</v>
      </c>
      <c r="B416" s="403" t="str">
        <f>_xlfn.XLOOKUP(tbl_cleaning[[#This Row],[Scheme/Estate]],[1]!tbl_survey[Scheme Name],[1]!tbl_survey[Internal],"Not rated")</f>
        <v>Not rated</v>
      </c>
      <c r="C416" s="403" t="e">
        <f t="array" ref="C416">IF(DATEVALUE([1]!tbl_survey[Date of inspection])&gt;DATEVALUE(B412),_xlfn.XLOOKUP(tbl_cleaning[[#This Row],[Scheme/Estate]],[1]!tbl_survey[Scheme Name],[1]!tbl_survey[Internal],"Not rated"),"Not rated")</f>
        <v>#VALUE!</v>
      </c>
      <c r="D416" s="432" t="s">
        <v>1364</v>
      </c>
      <c r="E416" s="154" t="s">
        <v>60</v>
      </c>
    </row>
    <row r="417" spans="1:5" ht="15" customHeight="1" x14ac:dyDescent="0.25">
      <c r="A417" s="462" t="s">
        <v>650</v>
      </c>
      <c r="B417" s="403" t="str">
        <f>_xlfn.XLOOKUP(tbl_cleaning[[#This Row],[Scheme/Estate]],[1]!tbl_survey[Scheme Name],[1]!tbl_survey[Internal],"Not rated")</f>
        <v>Not rated</v>
      </c>
      <c r="C417" s="403" t="e">
        <f t="array" ref="C417">IF(DATEVALUE([1]!tbl_survey[Date of inspection])&gt;DATEVALUE(B413),_xlfn.XLOOKUP(tbl_cleaning[[#This Row],[Scheme/Estate]],[1]!tbl_survey[Scheme Name],[1]!tbl_survey[Internal],"Not rated"),"Not rated")</f>
        <v>#VALUE!</v>
      </c>
      <c r="D417" s="432" t="s">
        <v>1378</v>
      </c>
      <c r="E417" s="443" t="s">
        <v>87</v>
      </c>
    </row>
    <row r="418" spans="1:5" ht="15" customHeight="1" x14ac:dyDescent="0.25">
      <c r="A418" s="464" t="s">
        <v>651</v>
      </c>
      <c r="B418" s="403" t="str">
        <f>_xlfn.XLOOKUP(tbl_cleaning[[#This Row],[Scheme/Estate]],[1]!tbl_survey[Scheme Name],[1]!tbl_survey[Internal],"Not rated")</f>
        <v>Not rated</v>
      </c>
      <c r="C418" s="403" t="e">
        <f t="array" ref="C418">IF(DATEVALUE([1]!tbl_survey[Date of inspection])&gt;DATEVALUE(B414),_xlfn.XLOOKUP(tbl_cleaning[[#This Row],[Scheme/Estate]],[1]!tbl_survey[Scheme Name],[1]!tbl_survey[Internal],"Not rated"),"Not rated")</f>
        <v>#VALUE!</v>
      </c>
      <c r="D418" s="432" t="s">
        <v>1377</v>
      </c>
      <c r="E418" s="154" t="s">
        <v>93</v>
      </c>
    </row>
    <row r="419" spans="1:5" ht="15" customHeight="1" x14ac:dyDescent="0.25">
      <c r="A419" s="463" t="s">
        <v>652</v>
      </c>
      <c r="B419" s="403" t="str">
        <f>_xlfn.XLOOKUP(tbl_cleaning[[#This Row],[Scheme/Estate]],[1]!tbl_survey[Scheme Name],[1]!tbl_survey[Internal],"Not rated")</f>
        <v>Not rated</v>
      </c>
      <c r="C419" s="403" t="e">
        <f t="array" ref="C419">IF(DATEVALUE([1]!tbl_survey[Date of inspection])&gt;DATEVALUE(B415),_xlfn.XLOOKUP(tbl_cleaning[[#This Row],[Scheme/Estate]],[1]!tbl_survey[Scheme Name],[1]!tbl_survey[Internal],"Not rated"),"Not rated")</f>
        <v>#VALUE!</v>
      </c>
      <c r="D419" s="432" t="s">
        <v>1377</v>
      </c>
      <c r="E419" s="154" t="s">
        <v>93</v>
      </c>
    </row>
    <row r="420" spans="1:5" ht="15" customHeight="1" x14ac:dyDescent="0.25">
      <c r="A420" s="463" t="s">
        <v>654</v>
      </c>
      <c r="B420" s="403" t="str">
        <f>_xlfn.XLOOKUP(tbl_cleaning[[#This Row],[Scheme/Estate]],[1]!tbl_survey[Scheme Name],[1]!tbl_survey[Internal],"Not rated")</f>
        <v>Not rated</v>
      </c>
      <c r="C420" s="403" t="e">
        <f t="array" ref="C420">IF(DATEVALUE([1]!tbl_survey[Date of inspection])&gt;DATEVALUE(B416),_xlfn.XLOOKUP(tbl_cleaning[[#This Row],[Scheme/Estate]],[1]!tbl_survey[Scheme Name],[1]!tbl_survey[Internal],"Not rated"),"Not rated")</f>
        <v>#VALUE!</v>
      </c>
      <c r="D420" s="432" t="s">
        <v>1376</v>
      </c>
      <c r="E420" s="154" t="s">
        <v>60</v>
      </c>
    </row>
    <row r="421" spans="1:5" ht="15" customHeight="1" x14ac:dyDescent="0.25">
      <c r="A421" s="463" t="s">
        <v>656</v>
      </c>
      <c r="B421" s="403" t="str">
        <f>_xlfn.XLOOKUP(tbl_cleaning[[#This Row],[Scheme/Estate]],[1]!tbl_survey[Scheme Name],[1]!tbl_survey[Internal],"Not rated")</f>
        <v>Not rated</v>
      </c>
      <c r="C421" s="403" t="e">
        <f t="array" ref="C421">IF(DATEVALUE([1]!tbl_survey[Date of inspection])&gt;DATEVALUE(B417),_xlfn.XLOOKUP(tbl_cleaning[[#This Row],[Scheme/Estate]],[1]!tbl_survey[Scheme Name],[1]!tbl_survey[Internal],"Not rated"),"Not rated")</f>
        <v>#VALUE!</v>
      </c>
      <c r="D421" s="432" t="s">
        <v>1371</v>
      </c>
      <c r="E421" s="154" t="s">
        <v>58</v>
      </c>
    </row>
    <row r="422" spans="1:5" ht="15" customHeight="1" x14ac:dyDescent="0.25">
      <c r="A422" s="463" t="s">
        <v>658</v>
      </c>
      <c r="B422" s="403" t="str">
        <f>_xlfn.XLOOKUP(tbl_cleaning[[#This Row],[Scheme/Estate]],[1]!tbl_survey[Scheme Name],[1]!tbl_survey[Internal],"Not rated")</f>
        <v>Not rated</v>
      </c>
      <c r="C422" s="403" t="e">
        <f t="array" ref="C422">IF(DATEVALUE([1]!tbl_survey[Date of inspection])&gt;DATEVALUE(B418),_xlfn.XLOOKUP(tbl_cleaning[[#This Row],[Scheme/Estate]],[1]!tbl_survey[Scheme Name],[1]!tbl_survey[Internal],"Not rated"),"Not rated")</f>
        <v>#VALUE!</v>
      </c>
      <c r="D422" s="432" t="s">
        <v>1384</v>
      </c>
      <c r="E422" s="449" t="s">
        <v>58</v>
      </c>
    </row>
    <row r="423" spans="1:5" ht="15" customHeight="1" x14ac:dyDescent="0.25">
      <c r="A423" s="462" t="s">
        <v>660</v>
      </c>
      <c r="B423" s="403" t="str">
        <f>_xlfn.XLOOKUP(tbl_cleaning[[#This Row],[Scheme/Estate]],[1]!tbl_survey[Scheme Name],[1]!tbl_survey[Internal],"Not rated")</f>
        <v>Not rated</v>
      </c>
      <c r="C423" s="403" t="e">
        <f t="array" ref="C423">IF(DATEVALUE([1]!tbl_survey[Date of inspection])&gt;DATEVALUE(B419),_xlfn.XLOOKUP(tbl_cleaning[[#This Row],[Scheme/Estate]],[1]!tbl_survey[Scheme Name],[1]!tbl_survey[Internal],"Not rated"),"Not rated")</f>
        <v>#VALUE!</v>
      </c>
      <c r="D423" s="432" t="s">
        <v>1378</v>
      </c>
      <c r="E423" s="443" t="s">
        <v>87</v>
      </c>
    </row>
    <row r="424" spans="1:5" ht="15" customHeight="1" x14ac:dyDescent="0.25">
      <c r="A424" s="470" t="s">
        <v>661</v>
      </c>
      <c r="B424" s="403" t="str">
        <f>_xlfn.XLOOKUP(tbl_cleaning[[#This Row],[Scheme/Estate]],[1]!tbl_survey[Scheme Name],[1]!tbl_survey[Internal],"Not rated")</f>
        <v>Not rated</v>
      </c>
      <c r="C424" s="403" t="e">
        <f t="array" ref="C424">IF(DATEVALUE([1]!tbl_survey[Date of inspection])&gt;DATEVALUE(B420),_xlfn.XLOOKUP(tbl_cleaning[[#This Row],[Scheme/Estate]],[1]!tbl_survey[Scheme Name],[1]!tbl_survey[Internal],"Not rated"),"Not rated")</f>
        <v>#VALUE!</v>
      </c>
      <c r="D424" s="432" t="s">
        <v>1368</v>
      </c>
      <c r="E424" s="154" t="s">
        <v>60</v>
      </c>
    </row>
    <row r="425" spans="1:5" ht="15" customHeight="1" x14ac:dyDescent="0.25">
      <c r="A425" s="484" t="s">
        <v>1314</v>
      </c>
      <c r="B425" s="403" t="str">
        <f>_xlfn.XLOOKUP(tbl_cleaning[[#This Row],[Scheme/Estate]],[1]!tbl_survey[Scheme Name],[1]!tbl_survey[Internal],"Not rated")</f>
        <v>Not rated</v>
      </c>
      <c r="C425" s="403" t="e">
        <f t="array" ref="C425">IF(DATEVALUE([1]!tbl_survey[Date of inspection])&gt;DATEVALUE(B421),_xlfn.XLOOKUP(tbl_cleaning[[#This Row],[Scheme/Estate]],[1]!tbl_survey[Scheme Name],[1]!tbl_survey[Internal],"Not rated"),"Not rated")</f>
        <v>#VALUE!</v>
      </c>
      <c r="D425" s="432" t="s">
        <v>1379</v>
      </c>
      <c r="E425" s="154" t="s">
        <v>58</v>
      </c>
    </row>
    <row r="426" spans="1:5" ht="15" customHeight="1" x14ac:dyDescent="0.25">
      <c r="A426" s="462" t="s">
        <v>662</v>
      </c>
      <c r="B426" s="403" t="str">
        <f>_xlfn.XLOOKUP(tbl_cleaning[[#This Row],[Scheme/Estate]],[1]!tbl_survey[Scheme Name],[1]!tbl_survey[Internal],"Not rated")</f>
        <v>Not rated</v>
      </c>
      <c r="C426" s="403" t="e">
        <f t="array" ref="C426">IF(DATEVALUE([1]!tbl_survey[Date of inspection])&gt;DATEVALUE(B422),_xlfn.XLOOKUP(tbl_cleaning[[#This Row],[Scheme/Estate]],[1]!tbl_survey[Scheme Name],[1]!tbl_survey[Internal],"Not rated"),"Not rated")</f>
        <v>#VALUE!</v>
      </c>
      <c r="D426" s="432" t="s">
        <v>1376</v>
      </c>
      <c r="E426" s="450" t="s">
        <v>60</v>
      </c>
    </row>
    <row r="427" spans="1:5" ht="15" customHeight="1" x14ac:dyDescent="0.25">
      <c r="A427" s="463" t="s">
        <v>663</v>
      </c>
      <c r="B427" s="403">
        <f>_xlfn.XLOOKUP(tbl_cleaning[[#This Row],[Scheme/Estate]],[1]!tbl_survey[Scheme Name],[1]!tbl_survey[Internal],"Not rated")</f>
        <v>3</v>
      </c>
      <c r="C427" s="403" t="e">
        <f t="array" ref="C427">IF(DATEVALUE([1]!tbl_survey[Date of inspection])&gt;DATEVALUE(B423),_xlfn.XLOOKUP(tbl_cleaning[[#This Row],[Scheme/Estate]],[1]!tbl_survey[Scheme Name],[1]!tbl_survey[Internal],"Not rated"),"Not rated")</f>
        <v>#VALUE!</v>
      </c>
      <c r="D427" s="432" t="s">
        <v>1386</v>
      </c>
      <c r="E427" s="446" t="s">
        <v>93</v>
      </c>
    </row>
    <row r="428" spans="1:5" ht="15" customHeight="1" x14ac:dyDescent="0.25">
      <c r="A428" s="462" t="s">
        <v>664</v>
      </c>
      <c r="B428" s="403" t="str">
        <f>_xlfn.XLOOKUP(tbl_cleaning[[#This Row],[Scheme/Estate]],[1]!tbl_survey[Scheme Name],[1]!tbl_survey[Internal],"Not rated")</f>
        <v>Not rated</v>
      </c>
      <c r="C428" s="403" t="e">
        <f t="array" ref="C428">IF(DATEVALUE([1]!tbl_survey[Date of inspection])&gt;DATEVALUE(B424),_xlfn.XLOOKUP(tbl_cleaning[[#This Row],[Scheme/Estate]],[1]!tbl_survey[Scheme Name],[1]!tbl_survey[Internal],"Not rated"),"Not rated")</f>
        <v>#VALUE!</v>
      </c>
      <c r="D428" s="432" t="s">
        <v>1364</v>
      </c>
      <c r="E428" s="154" t="s">
        <v>60</v>
      </c>
    </row>
    <row r="429" spans="1:5" ht="15" customHeight="1" x14ac:dyDescent="0.25">
      <c r="A429" s="462" t="s">
        <v>1402</v>
      </c>
      <c r="B429" s="403" t="str">
        <f>_xlfn.XLOOKUP(tbl_cleaning[[#This Row],[Scheme/Estate]],[1]!tbl_survey[Scheme Name],[1]!tbl_survey[Internal],"Not rated")</f>
        <v>Not rated</v>
      </c>
      <c r="C429" s="403" t="e">
        <f t="array" ref="C429">IF(DATEVALUE([1]!tbl_survey[Date of inspection])&gt;DATEVALUE(B425),_xlfn.XLOOKUP(tbl_cleaning[[#This Row],[Scheme/Estate]],[1]!tbl_survey[Scheme Name],[1]!tbl_survey[Internal],"Not rated"),"Not rated")</f>
        <v>#VALUE!</v>
      </c>
      <c r="D429" s="436" t="s">
        <v>1370</v>
      </c>
      <c r="E429" s="449" t="s">
        <v>93</v>
      </c>
    </row>
    <row r="430" spans="1:5" ht="15" customHeight="1" x14ac:dyDescent="0.25">
      <c r="A430" s="465" t="s">
        <v>667</v>
      </c>
      <c r="B430" s="403" t="str">
        <f>_xlfn.XLOOKUP(tbl_cleaning[[#This Row],[Scheme/Estate]],[1]!tbl_survey[Scheme Name],[1]!tbl_survey[Internal],"Not rated")</f>
        <v>Not rated</v>
      </c>
      <c r="C430" s="403" t="e">
        <f t="array" ref="C430">IF(DATEVALUE([1]!tbl_survey[Date of inspection])&gt;DATEVALUE(B426),_xlfn.XLOOKUP(tbl_cleaning[[#This Row],[Scheme/Estate]],[1]!tbl_survey[Scheme Name],[1]!tbl_survey[Internal],"Not rated"),"Not rated")</f>
        <v>#VALUE!</v>
      </c>
      <c r="D430" s="432" t="s">
        <v>1373</v>
      </c>
      <c r="E430" s="154" t="s">
        <v>58</v>
      </c>
    </row>
    <row r="431" spans="1:5" ht="15" customHeight="1" x14ac:dyDescent="0.25">
      <c r="A431" s="391" t="s">
        <v>668</v>
      </c>
      <c r="B431" s="403" t="str">
        <f>_xlfn.XLOOKUP(tbl_cleaning[[#This Row],[Scheme/Estate]],[1]!tbl_survey[Scheme Name],[1]!tbl_survey[Internal],"Not rated")</f>
        <v>Not rated</v>
      </c>
      <c r="C431" s="403" t="e">
        <f t="array" ref="C431">IF(DATEVALUE([1]!tbl_survey[Date of inspection])&gt;DATEVALUE(B427),_xlfn.XLOOKUP(tbl_cleaning[[#This Row],[Scheme/Estate]],[1]!tbl_survey[Scheme Name],[1]!tbl_survey[Internal],"Not rated"),"Not rated")</f>
        <v>#VALUE!</v>
      </c>
      <c r="D431" s="432" t="s">
        <v>1376</v>
      </c>
      <c r="E431" s="154" t="s">
        <v>60</v>
      </c>
    </row>
    <row r="432" spans="1:5" ht="15" customHeight="1" x14ac:dyDescent="0.25">
      <c r="A432" s="391" t="s">
        <v>669</v>
      </c>
      <c r="B432" s="403" t="str">
        <f>_xlfn.XLOOKUP(tbl_cleaning[[#This Row],[Scheme/Estate]],[1]!tbl_survey[Scheme Name],[1]!tbl_survey[Internal],"Not rated")</f>
        <v>Not rated</v>
      </c>
      <c r="C432" s="403" t="e">
        <f t="array" ref="C432">IF(DATEVALUE([1]!tbl_survey[Date of inspection])&gt;DATEVALUE(B428),_xlfn.XLOOKUP(tbl_cleaning[[#This Row],[Scheme/Estate]],[1]!tbl_survey[Scheme Name],[1]!tbl_survey[Internal],"Not rated"),"Not rated")</f>
        <v>#VALUE!</v>
      </c>
      <c r="D432" s="432" t="s">
        <v>1379</v>
      </c>
      <c r="E432" s="154" t="s">
        <v>58</v>
      </c>
    </row>
    <row r="433" spans="1:5" ht="15" customHeight="1" x14ac:dyDescent="0.25">
      <c r="A433" s="392" t="s">
        <v>670</v>
      </c>
      <c r="B433" s="403" t="str">
        <f>_xlfn.XLOOKUP(tbl_cleaning[[#This Row],[Scheme/Estate]],[1]!tbl_survey[Scheme Name],[1]!tbl_survey[Internal],"Not rated")</f>
        <v>Not rated</v>
      </c>
      <c r="C433" s="403" t="e">
        <f t="array" ref="C433">IF(DATEVALUE([1]!tbl_survey[Date of inspection])&gt;DATEVALUE(B429),_xlfn.XLOOKUP(tbl_cleaning[[#This Row],[Scheme/Estate]],[1]!tbl_survey[Scheme Name],[1]!tbl_survey[Internal],"Not rated"),"Not rated")</f>
        <v>#VALUE!</v>
      </c>
      <c r="D433" s="432" t="s">
        <v>1381</v>
      </c>
      <c r="E433" s="449" t="s">
        <v>60</v>
      </c>
    </row>
    <row r="434" spans="1:5" ht="15" customHeight="1" x14ac:dyDescent="0.25">
      <c r="A434" s="391" t="s">
        <v>671</v>
      </c>
      <c r="B434" s="403">
        <f>_xlfn.XLOOKUP(tbl_cleaning[[#This Row],[Scheme/Estate]],[1]!tbl_survey[Scheme Name],[1]!tbl_survey[Internal],"Not rated")</f>
        <v>3</v>
      </c>
      <c r="C434" s="403" t="e">
        <f t="array" ref="C434">IF(DATEVALUE([1]!tbl_survey[Date of inspection])&gt;DATEVALUE(B430),_xlfn.XLOOKUP(tbl_cleaning[[#This Row],[Scheme/Estate]],[1]!tbl_survey[Scheme Name],[1]!tbl_survey[Internal],"Not rated"),"Not rated")</f>
        <v>#VALUE!</v>
      </c>
      <c r="D434" s="433" t="s">
        <v>1374</v>
      </c>
      <c r="E434" s="454" t="s">
        <v>55</v>
      </c>
    </row>
    <row r="435" spans="1:5" ht="15" customHeight="1" x14ac:dyDescent="0.25">
      <c r="A435" s="391" t="s">
        <v>672</v>
      </c>
      <c r="B435" s="403">
        <f>_xlfn.XLOOKUP(tbl_cleaning[[#This Row],[Scheme/Estate]],[1]!tbl_survey[Scheme Name],[1]!tbl_survey[Internal],"Not rated")</f>
        <v>4</v>
      </c>
      <c r="C435" s="403" t="e">
        <f t="array" ref="C435">IF(DATEVALUE([1]!tbl_survey[Date of inspection])&gt;DATEVALUE(B431),_xlfn.XLOOKUP(tbl_cleaning[[#This Row],[Scheme/Estate]],[1]!tbl_survey[Scheme Name],[1]!tbl_survey[Internal],"Not rated"),"Not rated")</f>
        <v>#VALUE!</v>
      </c>
      <c r="D435" s="432" t="s">
        <v>1363</v>
      </c>
      <c r="E435" s="449" t="s">
        <v>58</v>
      </c>
    </row>
    <row r="436" spans="1:5" ht="15" customHeight="1" x14ac:dyDescent="0.25">
      <c r="A436" s="462" t="s">
        <v>673</v>
      </c>
      <c r="B436" s="403" t="str">
        <f>_xlfn.XLOOKUP(tbl_cleaning[[#This Row],[Scheme/Estate]],[1]!tbl_survey[Scheme Name],[1]!tbl_survey[Internal],"Not rated")</f>
        <v>Not rated</v>
      </c>
      <c r="C436" s="403" t="e">
        <f t="array" ref="C436">IF(DATEVALUE([1]!tbl_survey[Date of inspection])&gt;DATEVALUE(B432),_xlfn.XLOOKUP(tbl_cleaning[[#This Row],[Scheme/Estate]],[1]!tbl_survey[Scheme Name],[1]!tbl_survey[Internal],"Not rated"),"Not rated")</f>
        <v>#VALUE!</v>
      </c>
      <c r="D436" s="432" t="s">
        <v>1364</v>
      </c>
      <c r="E436" s="154" t="s">
        <v>60</v>
      </c>
    </row>
    <row r="437" spans="1:5" ht="15" customHeight="1" x14ac:dyDescent="0.25">
      <c r="A437" s="483" t="s">
        <v>1318</v>
      </c>
      <c r="B437" s="403" t="str">
        <f>_xlfn.XLOOKUP(tbl_cleaning[[#This Row],[Scheme/Estate]],[1]!tbl_survey[Scheme Name],[1]!tbl_survey[Internal],"Not rated")</f>
        <v>Not rated</v>
      </c>
      <c r="C437" s="403" t="e">
        <f t="array" ref="C437">IF(DATEVALUE([1]!tbl_survey[Date of inspection])&gt;DATEVALUE(B433),_xlfn.XLOOKUP(tbl_cleaning[[#This Row],[Scheme/Estate]],[1]!tbl_survey[Scheme Name],[1]!tbl_survey[Internal],"Not rated"),"Not rated")</f>
        <v>#VALUE!</v>
      </c>
      <c r="D437" s="437" t="s">
        <v>1368</v>
      </c>
      <c r="E437" s="461" t="s">
        <v>60</v>
      </c>
    </row>
    <row r="438" spans="1:5" ht="15" customHeight="1" x14ac:dyDescent="0.25">
      <c r="A438" s="462" t="s">
        <v>675</v>
      </c>
      <c r="B438" s="403">
        <f>_xlfn.XLOOKUP(tbl_cleaning[[#This Row],[Scheme/Estate]],[1]!tbl_survey[Scheme Name],[1]!tbl_survey[Internal],"Not rated")</f>
        <v>3</v>
      </c>
      <c r="C438" s="403" t="e">
        <f t="array" ref="C438">IF(DATEVALUE([1]!tbl_survey[Date of inspection])&gt;DATEVALUE(B434),_xlfn.XLOOKUP(tbl_cleaning[[#This Row],[Scheme/Estate]],[1]!tbl_survey[Scheme Name],[1]!tbl_survey[Internal],"Not rated"),"Not rated")</f>
        <v>#VALUE!</v>
      </c>
      <c r="D438" s="432" t="s">
        <v>1375</v>
      </c>
      <c r="E438" s="154" t="s">
        <v>60</v>
      </c>
    </row>
    <row r="439" spans="1:5" ht="15" customHeight="1" x14ac:dyDescent="0.25">
      <c r="A439" s="463" t="s">
        <v>676</v>
      </c>
      <c r="B439" s="403" t="str">
        <f>_xlfn.XLOOKUP(tbl_cleaning[[#This Row],[Scheme/Estate]],[1]!tbl_survey[Scheme Name],[1]!tbl_survey[Internal],"Not rated")</f>
        <v>Not rated</v>
      </c>
      <c r="C439" s="403" t="e">
        <f t="array" ref="C439">IF(DATEVALUE([1]!tbl_survey[Date of inspection])&gt;DATEVALUE(B435),_xlfn.XLOOKUP(tbl_cleaning[[#This Row],[Scheme/Estate]],[1]!tbl_survey[Scheme Name],[1]!tbl_survey[Internal],"Not rated"),"Not rated")</f>
        <v>#VALUE!</v>
      </c>
      <c r="D439" s="432" t="s">
        <v>1363</v>
      </c>
      <c r="E439" s="154" t="s">
        <v>58</v>
      </c>
    </row>
    <row r="440" spans="1:5" ht="15" customHeight="1" x14ac:dyDescent="0.25">
      <c r="A440" s="467" t="s">
        <v>1341</v>
      </c>
      <c r="B440" s="403" t="str">
        <f>_xlfn.XLOOKUP(tbl_cleaning[[#This Row],[Scheme/Estate]],[1]!tbl_survey[Scheme Name],[1]!tbl_survey[Internal],"Not rated")</f>
        <v>Not rated</v>
      </c>
      <c r="C440" s="403" t="e">
        <f t="array" ref="C440">IF(DATEVALUE([1]!tbl_survey[Date of inspection])&gt;DATEVALUE(B436),_xlfn.XLOOKUP(tbl_cleaning[[#This Row],[Scheme/Estate]],[1]!tbl_survey[Scheme Name],[1]!tbl_survey[Internal],"Not rated"),"Not rated")</f>
        <v>#VALUE!</v>
      </c>
      <c r="D440" s="432" t="s">
        <v>1381</v>
      </c>
      <c r="E440" s="154" t="s">
        <v>60</v>
      </c>
    </row>
    <row r="441" spans="1:5" ht="15" customHeight="1" x14ac:dyDescent="0.25">
      <c r="A441" s="463" t="s">
        <v>678</v>
      </c>
      <c r="B441" s="403">
        <f>_xlfn.XLOOKUP(tbl_cleaning[[#This Row],[Scheme/Estate]],[1]!tbl_survey[Scheme Name],[1]!tbl_survey[Internal],"Not rated")</f>
        <v>4</v>
      </c>
      <c r="C441" s="403" t="e">
        <f t="array" ref="C441">IF(DATEVALUE([1]!tbl_survey[Date of inspection])&gt;DATEVALUE(B437),_xlfn.XLOOKUP(tbl_cleaning[[#This Row],[Scheme/Estate]],[1]!tbl_survey[Scheme Name],[1]!tbl_survey[Internal],"Not rated"),"Not rated")</f>
        <v>#VALUE!</v>
      </c>
      <c r="D441" s="432" t="s">
        <v>1371</v>
      </c>
      <c r="E441" s="450" t="s">
        <v>58</v>
      </c>
    </row>
    <row r="442" spans="1:5" ht="15" customHeight="1" x14ac:dyDescent="0.25">
      <c r="A442" s="463" t="s">
        <v>679</v>
      </c>
      <c r="B442" s="403" t="str">
        <f>_xlfn.XLOOKUP(tbl_cleaning[[#This Row],[Scheme/Estate]],[1]!tbl_survey[Scheme Name],[1]!tbl_survey[Internal],"Not rated")</f>
        <v>Not rated</v>
      </c>
      <c r="C442" s="403" t="e">
        <f t="array" ref="C442">IF(DATEVALUE([1]!tbl_survey[Date of inspection])&gt;DATEVALUE(B438),_xlfn.XLOOKUP(tbl_cleaning[[#This Row],[Scheme/Estate]],[1]!tbl_survey[Scheme Name],[1]!tbl_survey[Internal],"Not rated"),"Not rated")</f>
        <v>#VALUE!</v>
      </c>
      <c r="D442" s="432" t="s">
        <v>1370</v>
      </c>
      <c r="E442" s="446" t="s">
        <v>93</v>
      </c>
    </row>
    <row r="443" spans="1:5" ht="15" customHeight="1" x14ac:dyDescent="0.25">
      <c r="A443" s="463" t="s">
        <v>680</v>
      </c>
      <c r="B443" s="403">
        <f>_xlfn.XLOOKUP(tbl_cleaning[[#This Row],[Scheme/Estate]],[1]!tbl_survey[Scheme Name],[1]!tbl_survey[Internal],"Not rated")</f>
        <v>4</v>
      </c>
      <c r="C443" s="403" t="e">
        <f t="array" ref="C443">IF(DATEVALUE([1]!tbl_survey[Date of inspection])&gt;DATEVALUE(B439),_xlfn.XLOOKUP(tbl_cleaning[[#This Row],[Scheme/Estate]],[1]!tbl_survey[Scheme Name],[1]!tbl_survey[Internal],"Not rated"),"Not rated")</f>
        <v>#VALUE!</v>
      </c>
      <c r="D443" s="432" t="s">
        <v>1379</v>
      </c>
      <c r="E443" s="154" t="s">
        <v>58</v>
      </c>
    </row>
    <row r="444" spans="1:5" ht="15" customHeight="1" x14ac:dyDescent="0.25">
      <c r="A444" s="463" t="s">
        <v>682</v>
      </c>
      <c r="B444" s="403" t="str">
        <f>_xlfn.XLOOKUP(tbl_cleaning[[#This Row],[Scheme/Estate]],[1]!tbl_survey[Scheme Name],[1]!tbl_survey[Internal],"Not rated")</f>
        <v>Not rated</v>
      </c>
      <c r="C444" s="403" t="e">
        <f t="array" ref="C444">IF(DATEVALUE([1]!tbl_survey[Date of inspection])&gt;DATEVALUE(B440),_xlfn.XLOOKUP(tbl_cleaning[[#This Row],[Scheme/Estate]],[1]!tbl_survey[Scheme Name],[1]!tbl_survey[Internal],"Not rated"),"Not rated")</f>
        <v>#VALUE!</v>
      </c>
      <c r="D444" s="432" t="s">
        <v>1382</v>
      </c>
      <c r="E444" s="154" t="s">
        <v>93</v>
      </c>
    </row>
    <row r="445" spans="1:5" ht="15" customHeight="1" x14ac:dyDescent="0.25">
      <c r="A445" s="463" t="s">
        <v>683</v>
      </c>
      <c r="B445" s="403" t="str">
        <f>_xlfn.XLOOKUP(tbl_cleaning[[#This Row],[Scheme/Estate]],[1]!tbl_survey[Scheme Name],[1]!tbl_survey[Internal],"Not rated")</f>
        <v>Not rated</v>
      </c>
      <c r="C445" s="403" t="e">
        <f t="array" ref="C445">IF(DATEVALUE([1]!tbl_survey[Date of inspection])&gt;DATEVALUE(B441),_xlfn.XLOOKUP(tbl_cleaning[[#This Row],[Scheme/Estate]],[1]!tbl_survey[Scheme Name],[1]!tbl_survey[Internal],"Not rated"),"Not rated")</f>
        <v>#VALUE!</v>
      </c>
      <c r="D445" s="432" t="s">
        <v>1370</v>
      </c>
      <c r="E445" s="449" t="s">
        <v>93</v>
      </c>
    </row>
    <row r="446" spans="1:5" ht="15" customHeight="1" x14ac:dyDescent="0.25">
      <c r="A446" s="462" t="s">
        <v>684</v>
      </c>
      <c r="B446" s="403" t="str">
        <f>_xlfn.XLOOKUP(tbl_cleaning[[#This Row],[Scheme/Estate]],[1]!tbl_survey[Scheme Name],[1]!tbl_survey[Internal],"Not rated")</f>
        <v>Not rated</v>
      </c>
      <c r="C446" s="403" t="e">
        <f t="array" ref="C446">IF(DATEVALUE([1]!tbl_survey[Date of inspection])&gt;DATEVALUE(B442),_xlfn.XLOOKUP(tbl_cleaning[[#This Row],[Scheme/Estate]],[1]!tbl_survey[Scheme Name],[1]!tbl_survey[Internal],"Not rated"),"Not rated")</f>
        <v>#VALUE!</v>
      </c>
      <c r="D446" s="435" t="s">
        <v>1378</v>
      </c>
      <c r="E446" s="443" t="s">
        <v>87</v>
      </c>
    </row>
    <row r="447" spans="1:5" ht="15" customHeight="1" x14ac:dyDescent="0.25">
      <c r="A447" s="463" t="s">
        <v>687</v>
      </c>
      <c r="B447" s="403" t="str">
        <f>_xlfn.XLOOKUP(tbl_cleaning[[#This Row],[Scheme/Estate]],[1]!tbl_survey[Scheme Name],[1]!tbl_survey[Internal],"Not rated")</f>
        <v>Not rated</v>
      </c>
      <c r="C447" s="403" t="e">
        <f t="array" ref="C447">IF(DATEVALUE([1]!tbl_survey[Date of inspection])&gt;DATEVALUE(B443),_xlfn.XLOOKUP(tbl_cleaning[[#This Row],[Scheme/Estate]],[1]!tbl_survey[Scheme Name],[1]!tbl_survey[Internal],"Not rated"),"Not rated")</f>
        <v>#VALUE!</v>
      </c>
      <c r="D447" s="432" t="s">
        <v>1381</v>
      </c>
      <c r="E447" s="460" t="s">
        <v>60</v>
      </c>
    </row>
    <row r="448" spans="1:5" ht="15" customHeight="1" x14ac:dyDescent="0.25">
      <c r="A448" s="462" t="s">
        <v>688</v>
      </c>
      <c r="B448" s="403" t="str">
        <f>_xlfn.XLOOKUP(tbl_cleaning[[#This Row],[Scheme/Estate]],[1]!tbl_survey[Scheme Name],[1]!tbl_survey[Internal],"Not rated")</f>
        <v>Not rated</v>
      </c>
      <c r="C448" s="403" t="e">
        <f t="array" ref="C448">IF(DATEVALUE([1]!tbl_survey[Date of inspection])&gt;DATEVALUE(B444),_xlfn.XLOOKUP(tbl_cleaning[[#This Row],[Scheme/Estate]],[1]!tbl_survey[Scheme Name],[1]!tbl_survey[Internal],"Not rated"),"Not rated")</f>
        <v>#VALUE!</v>
      </c>
      <c r="D448" s="432" t="s">
        <v>1368</v>
      </c>
      <c r="E448" s="446" t="s">
        <v>60</v>
      </c>
    </row>
    <row r="449" spans="1:5" ht="15" customHeight="1" x14ac:dyDescent="0.25">
      <c r="A449" s="464" t="s">
        <v>689</v>
      </c>
      <c r="B449" s="403" t="str">
        <f>_xlfn.XLOOKUP(tbl_cleaning[[#This Row],[Scheme/Estate]],[1]!tbl_survey[Scheme Name],[1]!tbl_survey[Internal],"Not rated")</f>
        <v>Not rated</v>
      </c>
      <c r="C449" s="403" t="e">
        <f t="array" ref="C449">IF(DATEVALUE([1]!tbl_survey[Date of inspection])&gt;DATEVALUE(B445),_xlfn.XLOOKUP(tbl_cleaning[[#This Row],[Scheme/Estate]],[1]!tbl_survey[Scheme Name],[1]!tbl_survey[Internal],"Not rated"),"Not rated")</f>
        <v>#VALUE!</v>
      </c>
      <c r="D449" s="432" t="s">
        <v>1372</v>
      </c>
      <c r="E449" s="154" t="s">
        <v>60</v>
      </c>
    </row>
    <row r="450" spans="1:5" ht="15" customHeight="1" x14ac:dyDescent="0.25">
      <c r="A450" s="483" t="s">
        <v>690</v>
      </c>
      <c r="B450" s="403" t="str">
        <f>_xlfn.XLOOKUP(tbl_cleaning[[#This Row],[Scheme/Estate]],[1]!tbl_survey[Scheme Name],[1]!tbl_survey[Internal],"Not rated")</f>
        <v>Not rated</v>
      </c>
      <c r="C450" s="403" t="e">
        <f t="array" ref="C450">IF(DATEVALUE([1]!tbl_survey[Date of inspection])&gt;DATEVALUE(B446),_xlfn.XLOOKUP(tbl_cleaning[[#This Row],[Scheme/Estate]],[1]!tbl_survey[Scheme Name],[1]!tbl_survey[Internal],"Not rated"),"Not rated")</f>
        <v>#VALUE!</v>
      </c>
      <c r="D450" s="432" t="s">
        <v>1366</v>
      </c>
      <c r="E450" s="443" t="s">
        <v>87</v>
      </c>
    </row>
    <row r="451" spans="1:5" ht="15" customHeight="1" x14ac:dyDescent="0.25">
      <c r="A451" s="467" t="s">
        <v>692</v>
      </c>
      <c r="B451" s="403" t="str">
        <f>_xlfn.XLOOKUP(tbl_cleaning[[#This Row],[Scheme/Estate]],[1]!tbl_survey[Scheme Name],[1]!tbl_survey[Internal],"Not rated")</f>
        <v>Not rated</v>
      </c>
      <c r="C451" s="403" t="e">
        <f t="array" ref="C451">IF(DATEVALUE([1]!tbl_survey[Date of inspection])&gt;DATEVALUE(B447),_xlfn.XLOOKUP(tbl_cleaning[[#This Row],[Scheme/Estate]],[1]!tbl_survey[Scheme Name],[1]!tbl_survey[Internal],"Not rated"),"Not rated")</f>
        <v>#VALUE!</v>
      </c>
      <c r="D451" s="432" t="s">
        <v>1368</v>
      </c>
      <c r="E451" s="154" t="s">
        <v>60</v>
      </c>
    </row>
    <row r="452" spans="1:5" ht="15" customHeight="1" x14ac:dyDescent="0.25">
      <c r="A452" s="391" t="s">
        <v>694</v>
      </c>
      <c r="B452" s="403" t="str">
        <f>_xlfn.XLOOKUP(tbl_cleaning[[#This Row],[Scheme/Estate]],[1]!tbl_survey[Scheme Name],[1]!tbl_survey[Internal],"Not rated")</f>
        <v>Not rated</v>
      </c>
      <c r="C452" s="403" t="e">
        <f t="array" ref="C452">IF(DATEVALUE([1]!tbl_survey[Date of inspection])&gt;DATEVALUE(B448),_xlfn.XLOOKUP(tbl_cleaning[[#This Row],[Scheme/Estate]],[1]!tbl_survey[Scheme Name],[1]!tbl_survey[Internal],"Not rated"),"Not rated")</f>
        <v>#VALUE!</v>
      </c>
      <c r="D452" s="432" t="s">
        <v>1379</v>
      </c>
      <c r="E452" s="154" t="s">
        <v>58</v>
      </c>
    </row>
    <row r="453" spans="1:5" ht="15" customHeight="1" x14ac:dyDescent="0.25">
      <c r="A453" s="462" t="s">
        <v>1342</v>
      </c>
      <c r="B453" s="403" t="str">
        <f>_xlfn.XLOOKUP(tbl_cleaning[[#This Row],[Scheme/Estate]],[1]!tbl_survey[Scheme Name],[1]!tbl_survey[Internal],"Not rated")</f>
        <v>Not rated</v>
      </c>
      <c r="C453" s="403" t="e">
        <f t="array" ref="C453">IF(DATEVALUE([1]!tbl_survey[Date of inspection])&gt;DATEVALUE(B449),_xlfn.XLOOKUP(tbl_cleaning[[#This Row],[Scheme/Estate]],[1]!tbl_survey[Scheme Name],[1]!tbl_survey[Internal],"Not rated"),"Not rated")</f>
        <v>#VALUE!</v>
      </c>
      <c r="D453" s="432" t="s">
        <v>1376</v>
      </c>
      <c r="E453" s="449" t="s">
        <v>60</v>
      </c>
    </row>
    <row r="454" spans="1:5" ht="15" customHeight="1" x14ac:dyDescent="0.25">
      <c r="A454" s="395" t="s">
        <v>696</v>
      </c>
      <c r="B454" s="403" t="str">
        <f>_xlfn.XLOOKUP(tbl_cleaning[[#This Row],[Scheme/Estate]],[1]!tbl_survey[Scheme Name],[1]!tbl_survey[Internal],"Not rated")</f>
        <v>Not rated</v>
      </c>
      <c r="C454" s="403" t="e">
        <f t="array" ref="C454">IF(DATEVALUE([1]!tbl_survey[Date of inspection])&gt;DATEVALUE(B450),_xlfn.XLOOKUP(tbl_cleaning[[#This Row],[Scheme/Estate]],[1]!tbl_survey[Scheme Name],[1]!tbl_survey[Internal],"Not rated"),"Not rated")</f>
        <v>#VALUE!</v>
      </c>
      <c r="D454" s="432" t="s">
        <v>1376</v>
      </c>
      <c r="E454" s="154" t="s">
        <v>60</v>
      </c>
    </row>
    <row r="455" spans="1:5" ht="15" customHeight="1" x14ac:dyDescent="0.25">
      <c r="A455" s="391" t="s">
        <v>698</v>
      </c>
      <c r="B455" s="403" t="str">
        <f>_xlfn.XLOOKUP(tbl_cleaning[[#This Row],[Scheme/Estate]],[1]!tbl_survey[Scheme Name],[1]!tbl_survey[Internal],"Not rated")</f>
        <v>Not rated</v>
      </c>
      <c r="C455" s="403" t="e">
        <f t="array" ref="C455">IF(DATEVALUE([1]!tbl_survey[Date of inspection])&gt;DATEVALUE(B451),_xlfn.XLOOKUP(tbl_cleaning[[#This Row],[Scheme/Estate]],[1]!tbl_survey[Scheme Name],[1]!tbl_survey[Internal],"Not rated"),"Not rated")</f>
        <v>#VALUE!</v>
      </c>
      <c r="D455" s="432" t="s">
        <v>1371</v>
      </c>
      <c r="E455" s="154" t="s">
        <v>58</v>
      </c>
    </row>
    <row r="456" spans="1:5" ht="15" customHeight="1" x14ac:dyDescent="0.25">
      <c r="A456" s="467" t="s">
        <v>699</v>
      </c>
      <c r="B456" s="403" t="str">
        <f>_xlfn.XLOOKUP(tbl_cleaning[[#This Row],[Scheme/Estate]],[1]!tbl_survey[Scheme Name],[1]!tbl_survey[Internal],"Not rated")</f>
        <v>Not rated</v>
      </c>
      <c r="C456" s="403" t="e">
        <f t="array" ref="C456">IF(DATEVALUE([1]!tbl_survey[Date of inspection])&gt;DATEVALUE(B452),_xlfn.XLOOKUP(tbl_cleaning[[#This Row],[Scheme/Estate]],[1]!tbl_survey[Scheme Name],[1]!tbl_survey[Internal],"Not rated"),"Not rated")</f>
        <v>#VALUE!</v>
      </c>
      <c r="D456" s="432" t="s">
        <v>1368</v>
      </c>
      <c r="E456" s="450" t="s">
        <v>60</v>
      </c>
    </row>
    <row r="457" spans="1:5" ht="15" customHeight="1" x14ac:dyDescent="0.25">
      <c r="A457" s="391" t="s">
        <v>701</v>
      </c>
      <c r="B457" s="403" t="str">
        <f>_xlfn.XLOOKUP(tbl_cleaning[[#This Row],[Scheme/Estate]],[1]!tbl_survey[Scheme Name],[1]!tbl_survey[Internal],"Not rated")</f>
        <v>Not rated</v>
      </c>
      <c r="C457" s="403" t="e">
        <f t="array" ref="C457">IF(DATEVALUE([1]!tbl_survey[Date of inspection])&gt;DATEVALUE(B453),_xlfn.XLOOKUP(tbl_cleaning[[#This Row],[Scheme/Estate]],[1]!tbl_survey[Scheme Name],[1]!tbl_survey[Internal],"Not rated"),"Not rated")</f>
        <v>#VALUE!</v>
      </c>
      <c r="D457" s="432" t="s">
        <v>1376</v>
      </c>
      <c r="E457" s="446" t="s">
        <v>60</v>
      </c>
    </row>
    <row r="458" spans="1:5" ht="15" customHeight="1" x14ac:dyDescent="0.25">
      <c r="A458" s="462" t="s">
        <v>702</v>
      </c>
      <c r="B458" s="403" t="str">
        <f>_xlfn.XLOOKUP(tbl_cleaning[[#This Row],[Scheme/Estate]],[1]!tbl_survey[Scheme Name],[1]!tbl_survey[Internal],"Not rated")</f>
        <v>Not rated</v>
      </c>
      <c r="C458" s="403" t="e">
        <f t="array" ref="C458">IF(DATEVALUE([1]!tbl_survey[Date of inspection])&gt;DATEVALUE(B454),_xlfn.XLOOKUP(tbl_cleaning[[#This Row],[Scheme/Estate]],[1]!tbl_survey[Scheme Name],[1]!tbl_survey[Internal],"Not rated"),"Not rated")</f>
        <v>#VALUE!</v>
      </c>
      <c r="D458" s="432" t="s">
        <v>1375</v>
      </c>
      <c r="E458" s="154" t="s">
        <v>60</v>
      </c>
    </row>
    <row r="459" spans="1:5" ht="15" customHeight="1" x14ac:dyDescent="0.25">
      <c r="A459" s="465" t="s">
        <v>703</v>
      </c>
      <c r="B459" s="403" t="str">
        <f>_xlfn.XLOOKUP(tbl_cleaning[[#This Row],[Scheme/Estate]],[1]!tbl_survey[Scheme Name],[1]!tbl_survey[Internal],"Not rated")</f>
        <v>Not rated</v>
      </c>
      <c r="C459" s="403" t="e">
        <f t="array" ref="C459">IF(DATEVALUE([1]!tbl_survey[Date of inspection])&gt;DATEVALUE(B455),_xlfn.XLOOKUP(tbl_cleaning[[#This Row],[Scheme/Estate]],[1]!tbl_survey[Scheme Name],[1]!tbl_survey[Internal],"Not rated"),"Not rated")</f>
        <v>#VALUE!</v>
      </c>
      <c r="D459" s="432" t="s">
        <v>1365</v>
      </c>
      <c r="E459" s="443" t="s">
        <v>87</v>
      </c>
    </row>
    <row r="460" spans="1:5" ht="15" customHeight="1" x14ac:dyDescent="0.25">
      <c r="A460" s="462" t="s">
        <v>704</v>
      </c>
      <c r="B460" s="403" t="str">
        <f>_xlfn.XLOOKUP(tbl_cleaning[[#This Row],[Scheme/Estate]],[1]!tbl_survey[Scheme Name],[1]!tbl_survey[Internal],"Not rated")</f>
        <v>Not rated</v>
      </c>
      <c r="C460" s="403" t="e">
        <f t="array" ref="C460">IF(DATEVALUE([1]!tbl_survey[Date of inspection])&gt;DATEVALUE(B456),_xlfn.XLOOKUP(tbl_cleaning[[#This Row],[Scheme/Estate]],[1]!tbl_survey[Scheme Name],[1]!tbl_survey[Internal],"Not rated"),"Not rated")</f>
        <v>#VALUE!</v>
      </c>
      <c r="D460" s="432" t="s">
        <v>1365</v>
      </c>
      <c r="E460" s="451" t="s">
        <v>87</v>
      </c>
    </row>
    <row r="461" spans="1:5" ht="15" customHeight="1" x14ac:dyDescent="0.25">
      <c r="A461" s="391" t="s">
        <v>705</v>
      </c>
      <c r="B461" s="403" t="str">
        <f>_xlfn.XLOOKUP(tbl_cleaning[[#This Row],[Scheme/Estate]],[1]!tbl_survey[Scheme Name],[1]!tbl_survey[Internal],"Not rated")</f>
        <v>Not rated</v>
      </c>
      <c r="C461" s="403" t="e">
        <f t="array" ref="C461">IF(DATEVALUE([1]!tbl_survey[Date of inspection])&gt;DATEVALUE(B457),_xlfn.XLOOKUP(tbl_cleaning[[#This Row],[Scheme/Estate]],[1]!tbl_survey[Scheme Name],[1]!tbl_survey[Internal],"Not rated"),"Not rated")</f>
        <v>#VALUE!</v>
      </c>
      <c r="D461" s="432" t="s">
        <v>1365</v>
      </c>
      <c r="E461" s="154" t="s">
        <v>87</v>
      </c>
    </row>
    <row r="462" spans="1:5" ht="15" customHeight="1" x14ac:dyDescent="0.25">
      <c r="A462" s="462" t="s">
        <v>706</v>
      </c>
      <c r="B462" s="403" t="str">
        <f>_xlfn.XLOOKUP(tbl_cleaning[[#This Row],[Scheme/Estate]],[1]!tbl_survey[Scheme Name],[1]!tbl_survey[Internal],"Not rated")</f>
        <v>Not rated</v>
      </c>
      <c r="C462" s="403" t="e">
        <f t="array" ref="C462">IF(DATEVALUE([1]!tbl_survey[Date of inspection])&gt;DATEVALUE(B458),_xlfn.XLOOKUP(tbl_cleaning[[#This Row],[Scheme/Estate]],[1]!tbl_survey[Scheme Name],[1]!tbl_survey[Internal],"Not rated"),"Not rated")</f>
        <v>#VALUE!</v>
      </c>
      <c r="D462" s="432" t="s">
        <v>1378</v>
      </c>
      <c r="E462" s="443" t="s">
        <v>87</v>
      </c>
    </row>
    <row r="463" spans="1:5" ht="15" customHeight="1" x14ac:dyDescent="0.25">
      <c r="A463" s="462" t="s">
        <v>707</v>
      </c>
      <c r="B463" s="403" t="str">
        <f>_xlfn.XLOOKUP(tbl_cleaning[[#This Row],[Scheme/Estate]],[1]!tbl_survey[Scheme Name],[1]!tbl_survey[Internal],"Not rated")</f>
        <v>Not rated</v>
      </c>
      <c r="C463" s="403" t="e">
        <f t="array" ref="C463">IF(DATEVALUE([1]!tbl_survey[Date of inspection])&gt;DATEVALUE(B459),_xlfn.XLOOKUP(tbl_cleaning[[#This Row],[Scheme/Estate]],[1]!tbl_survey[Scheme Name],[1]!tbl_survey[Internal],"Not rated"),"Not rated")</f>
        <v>#VALUE!</v>
      </c>
      <c r="D463" s="432" t="s">
        <v>1365</v>
      </c>
      <c r="E463" s="443" t="s">
        <v>87</v>
      </c>
    </row>
    <row r="464" spans="1:5" ht="15" customHeight="1" x14ac:dyDescent="0.25">
      <c r="A464" s="463" t="s">
        <v>708</v>
      </c>
      <c r="B464" s="403" t="str">
        <f>_xlfn.XLOOKUP(tbl_cleaning[[#This Row],[Scheme/Estate]],[1]!tbl_survey[Scheme Name],[1]!tbl_survey[Internal],"Not rated")</f>
        <v>Not rated</v>
      </c>
      <c r="C464" s="403" t="e">
        <f t="array" ref="C464">IF(DATEVALUE([1]!tbl_survey[Date of inspection])&gt;DATEVALUE(B460),_xlfn.XLOOKUP(tbl_cleaning[[#This Row],[Scheme/Estate]],[1]!tbl_survey[Scheme Name],[1]!tbl_survey[Internal],"Not rated"),"Not rated")</f>
        <v>#VALUE!</v>
      </c>
      <c r="D464" s="432" t="s">
        <v>1370</v>
      </c>
      <c r="E464" s="154" t="s">
        <v>93</v>
      </c>
    </row>
    <row r="465" spans="1:5" ht="15" customHeight="1" x14ac:dyDescent="0.25">
      <c r="A465" s="467" t="s">
        <v>1343</v>
      </c>
      <c r="B465" s="403" t="str">
        <f>_xlfn.XLOOKUP(tbl_cleaning[[#This Row],[Scheme/Estate]],[1]!tbl_survey[Scheme Name],[1]!tbl_survey[Internal],"Not rated")</f>
        <v>Not rated</v>
      </c>
      <c r="C465" s="403" t="e">
        <f t="array" ref="C465">IF(DATEVALUE([1]!tbl_survey[Date of inspection])&gt;DATEVALUE(B461),_xlfn.XLOOKUP(tbl_cleaning[[#This Row],[Scheme/Estate]],[1]!tbl_survey[Scheme Name],[1]!tbl_survey[Internal],"Not rated"),"Not rated")</f>
        <v>#VALUE!</v>
      </c>
      <c r="D465" s="432" t="s">
        <v>1381</v>
      </c>
      <c r="E465" s="449" t="s">
        <v>60</v>
      </c>
    </row>
    <row r="466" spans="1:5" ht="15" customHeight="1" x14ac:dyDescent="0.25">
      <c r="A466" s="462" t="s">
        <v>1319</v>
      </c>
      <c r="B466" s="403" t="str">
        <f>_xlfn.XLOOKUP(tbl_cleaning[[#This Row],[Scheme/Estate]],[1]!tbl_survey[Scheme Name],[1]!tbl_survey[Internal],"Not rated")</f>
        <v>N/A</v>
      </c>
      <c r="C466" s="403" t="e">
        <f t="array" ref="C466">IF(DATEVALUE([1]!tbl_survey[Date of inspection])&gt;DATEVALUE(B462),_xlfn.XLOOKUP(tbl_cleaning[[#This Row],[Scheme/Estate]],[1]!tbl_survey[Scheme Name],[1]!tbl_survey[Internal],"Not rated"),"Not rated")</f>
        <v>#VALUE!</v>
      </c>
      <c r="D466" s="432" t="s">
        <v>1368</v>
      </c>
      <c r="E466" s="154" t="s">
        <v>60</v>
      </c>
    </row>
    <row r="467" spans="1:5" ht="15" customHeight="1" x14ac:dyDescent="0.25">
      <c r="A467" s="463" t="s">
        <v>711</v>
      </c>
      <c r="B467" s="403" t="str">
        <f>_xlfn.XLOOKUP(tbl_cleaning[[#This Row],[Scheme/Estate]],[1]!tbl_survey[Scheme Name],[1]!tbl_survey[Internal],"Not rated")</f>
        <v>Not rated</v>
      </c>
      <c r="C467" s="403" t="e">
        <f t="array" ref="C467">IF(DATEVALUE([1]!tbl_survey[Date of inspection])&gt;DATEVALUE(B463),_xlfn.XLOOKUP(tbl_cleaning[[#This Row],[Scheme/Estate]],[1]!tbl_survey[Scheme Name],[1]!tbl_survey[Internal],"Not rated"),"Not rated")</f>
        <v>#VALUE!</v>
      </c>
      <c r="D467" s="432" t="s">
        <v>1380</v>
      </c>
      <c r="E467" s="449" t="s">
        <v>60</v>
      </c>
    </row>
    <row r="468" spans="1:5" ht="15" customHeight="1" x14ac:dyDescent="0.25">
      <c r="A468" s="463" t="s">
        <v>712</v>
      </c>
      <c r="B468" s="403" t="str">
        <f>_xlfn.XLOOKUP(tbl_cleaning[[#This Row],[Scheme/Estate]],[1]!tbl_survey[Scheme Name],[1]!tbl_survey[Internal],"Not rated")</f>
        <v>Not rated</v>
      </c>
      <c r="C468" s="403" t="e">
        <f t="array" ref="C468">IF(DATEVALUE([1]!tbl_survey[Date of inspection])&gt;DATEVALUE(B464),_xlfn.XLOOKUP(tbl_cleaning[[#This Row],[Scheme/Estate]],[1]!tbl_survey[Scheme Name],[1]!tbl_survey[Internal],"Not rated"),"Not rated")</f>
        <v>#VALUE!</v>
      </c>
      <c r="D468" s="432" t="s">
        <v>1377</v>
      </c>
      <c r="E468" s="154" t="s">
        <v>93</v>
      </c>
    </row>
    <row r="469" spans="1:5" ht="15" customHeight="1" x14ac:dyDescent="0.25">
      <c r="A469" s="470" t="s">
        <v>714</v>
      </c>
      <c r="B469" s="403" t="str">
        <f>_xlfn.XLOOKUP(tbl_cleaning[[#This Row],[Scheme/Estate]],[1]!tbl_survey[Scheme Name],[1]!tbl_survey[Internal],"Not rated")</f>
        <v>Not rated</v>
      </c>
      <c r="C469" s="403" t="e">
        <f t="array" ref="C469">IF(DATEVALUE([1]!tbl_survey[Date of inspection])&gt;DATEVALUE(B465),_xlfn.XLOOKUP(tbl_cleaning[[#This Row],[Scheme/Estate]],[1]!tbl_survey[Scheme Name],[1]!tbl_survey[Internal],"Not rated"),"Not rated")</f>
        <v>#VALUE!</v>
      </c>
      <c r="D469" s="432" t="s">
        <v>1372</v>
      </c>
      <c r="E469" s="154" t="s">
        <v>60</v>
      </c>
    </row>
    <row r="470" spans="1:5" ht="15" customHeight="1" x14ac:dyDescent="0.25">
      <c r="A470" s="462" t="s">
        <v>716</v>
      </c>
      <c r="B470" s="403" t="str">
        <f>_xlfn.XLOOKUP(tbl_cleaning[[#This Row],[Scheme/Estate]],[1]!tbl_survey[Scheme Name],[1]!tbl_survey[Internal],"Not rated")</f>
        <v>Not rated</v>
      </c>
      <c r="C470" s="403" t="e">
        <f t="array" ref="C470">IF(DATEVALUE([1]!tbl_survey[Date of inspection])&gt;DATEVALUE(B466),_xlfn.XLOOKUP(tbl_cleaning[[#This Row],[Scheme/Estate]],[1]!tbl_survey[Scheme Name],[1]!tbl_survey[Internal],"Not rated"),"Not rated")</f>
        <v>#VALUE!</v>
      </c>
      <c r="D470" s="432" t="s">
        <v>1378</v>
      </c>
      <c r="E470" s="443" t="s">
        <v>87</v>
      </c>
    </row>
    <row r="471" spans="1:5" ht="15" customHeight="1" x14ac:dyDescent="0.25">
      <c r="A471" s="462" t="s">
        <v>717</v>
      </c>
      <c r="B471" s="403" t="str">
        <f>_xlfn.XLOOKUP(tbl_cleaning[[#This Row],[Scheme/Estate]],[1]!tbl_survey[Scheme Name],[1]!tbl_survey[Internal],"Not rated")</f>
        <v>Not rated</v>
      </c>
      <c r="C471" s="403" t="e">
        <f t="array" ref="C471">IF(DATEVALUE([1]!tbl_survey[Date of inspection])&gt;DATEVALUE(B467),_xlfn.XLOOKUP(tbl_cleaning[[#This Row],[Scheme/Estate]],[1]!tbl_survey[Scheme Name],[1]!tbl_survey[Internal],"Not rated"),"Not rated")</f>
        <v>#VALUE!</v>
      </c>
      <c r="D471" s="432" t="s">
        <v>1383</v>
      </c>
      <c r="E471" s="451" t="s">
        <v>87</v>
      </c>
    </row>
    <row r="472" spans="1:5" ht="15" customHeight="1" x14ac:dyDescent="0.25">
      <c r="A472" s="465" t="s">
        <v>718</v>
      </c>
      <c r="B472" s="403" t="str">
        <f>_xlfn.XLOOKUP(tbl_cleaning[[#This Row],[Scheme/Estate]],[1]!tbl_survey[Scheme Name],[1]!tbl_survey[Internal],"Not rated")</f>
        <v>Not rated</v>
      </c>
      <c r="C472" s="403" t="e">
        <f t="array" ref="C472">IF(DATEVALUE([1]!tbl_survey[Date of inspection])&gt;DATEVALUE(B468),_xlfn.XLOOKUP(tbl_cleaning[[#This Row],[Scheme/Estate]],[1]!tbl_survey[Scheme Name],[1]!tbl_survey[Internal],"Not rated"),"Not rated")</f>
        <v>#VALUE!</v>
      </c>
      <c r="D472" s="432" t="s">
        <v>1381</v>
      </c>
      <c r="E472" s="154" t="s">
        <v>60</v>
      </c>
    </row>
    <row r="473" spans="1:5" ht="15" customHeight="1" x14ac:dyDescent="0.25">
      <c r="A473" s="463" t="s">
        <v>719</v>
      </c>
      <c r="B473" s="403" t="str">
        <f>_xlfn.XLOOKUP(tbl_cleaning[[#This Row],[Scheme/Estate]],[1]!tbl_survey[Scheme Name],[1]!tbl_survey[Internal],"Not rated")</f>
        <v>Not rated</v>
      </c>
      <c r="C473" s="403" t="e">
        <f t="array" ref="C473">IF(DATEVALUE([1]!tbl_survey[Date of inspection])&gt;DATEVALUE(B469),_xlfn.XLOOKUP(tbl_cleaning[[#This Row],[Scheme/Estate]],[1]!tbl_survey[Scheme Name],[1]!tbl_survey[Internal],"Not rated"),"Not rated")</f>
        <v>#VALUE!</v>
      </c>
      <c r="D473" s="432" t="s">
        <v>1367</v>
      </c>
      <c r="E473" s="154" t="s">
        <v>93</v>
      </c>
    </row>
    <row r="474" spans="1:5" ht="15" customHeight="1" x14ac:dyDescent="0.25">
      <c r="A474" s="462" t="s">
        <v>720</v>
      </c>
      <c r="B474" s="403" t="str">
        <f>_xlfn.XLOOKUP(tbl_cleaning[[#This Row],[Scheme/Estate]],[1]!tbl_survey[Scheme Name],[1]!tbl_survey[Internal],"Not rated")</f>
        <v>Not rated</v>
      </c>
      <c r="C474" s="403" t="e">
        <f t="array" ref="C474">IF(DATEVALUE([1]!tbl_survey[Date of inspection])&gt;DATEVALUE(B470),_xlfn.XLOOKUP(tbl_cleaning[[#This Row],[Scheme/Estate]],[1]!tbl_survey[Scheme Name],[1]!tbl_survey[Internal],"Not rated"),"Not rated")</f>
        <v>#VALUE!</v>
      </c>
      <c r="D474" s="432" t="s">
        <v>1378</v>
      </c>
      <c r="E474" s="453" t="s">
        <v>87</v>
      </c>
    </row>
    <row r="475" spans="1:5" ht="15" customHeight="1" x14ac:dyDescent="0.25">
      <c r="A475" s="462" t="s">
        <v>722</v>
      </c>
      <c r="B475" s="403" t="str">
        <f>_xlfn.XLOOKUP(tbl_cleaning[[#This Row],[Scheme/Estate]],[1]!tbl_survey[Scheme Name],[1]!tbl_survey[Internal],"Not rated")</f>
        <v>Not rated</v>
      </c>
      <c r="C475" s="403" t="e">
        <f t="array" ref="C475">IF(DATEVALUE([1]!tbl_survey[Date of inspection])&gt;DATEVALUE(B471),_xlfn.XLOOKUP(tbl_cleaning[[#This Row],[Scheme/Estate]],[1]!tbl_survey[Scheme Name],[1]!tbl_survey[Internal],"Not rated"),"Not rated")</f>
        <v>#VALUE!</v>
      </c>
      <c r="D475" s="432" t="s">
        <v>1378</v>
      </c>
      <c r="E475" s="448" t="s">
        <v>87</v>
      </c>
    </row>
    <row r="476" spans="1:5" ht="15" customHeight="1" x14ac:dyDescent="0.25">
      <c r="A476" s="463" t="s">
        <v>723</v>
      </c>
      <c r="B476" s="403" t="str">
        <f>_xlfn.XLOOKUP(tbl_cleaning[[#This Row],[Scheme/Estate]],[1]!tbl_survey[Scheme Name],[1]!tbl_survey[Internal],"Not rated")</f>
        <v>Not rated</v>
      </c>
      <c r="C476" s="403" t="e">
        <f t="array" ref="C476">IF(DATEVALUE([1]!tbl_survey[Date of inspection])&gt;DATEVALUE(B472),_xlfn.XLOOKUP(tbl_cleaning[[#This Row],[Scheme/Estate]],[1]!tbl_survey[Scheme Name],[1]!tbl_survey[Internal],"Not rated"),"Not rated")</f>
        <v>#VALUE!</v>
      </c>
      <c r="D476" s="432" t="s">
        <v>1363</v>
      </c>
      <c r="E476" s="446" t="s">
        <v>58</v>
      </c>
    </row>
    <row r="477" spans="1:5" ht="15" customHeight="1" x14ac:dyDescent="0.25">
      <c r="A477" s="462" t="s">
        <v>724</v>
      </c>
      <c r="B477" s="403" t="str">
        <f>_xlfn.XLOOKUP(tbl_cleaning[[#This Row],[Scheme/Estate]],[1]!tbl_survey[Scheme Name],[1]!tbl_survey[Internal],"Not rated")</f>
        <v>Not rated</v>
      </c>
      <c r="C477" s="403" t="e">
        <f t="array" ref="C477">IF(DATEVALUE([1]!tbl_survey[Date of inspection])&gt;DATEVALUE(B473),_xlfn.XLOOKUP(tbl_cleaning[[#This Row],[Scheme/Estate]],[1]!tbl_survey[Scheme Name],[1]!tbl_survey[Internal],"Not rated"),"Not rated")</f>
        <v>#VALUE!</v>
      </c>
      <c r="D477" s="432" t="s">
        <v>1375</v>
      </c>
      <c r="E477" s="154" t="s">
        <v>60</v>
      </c>
    </row>
    <row r="478" spans="1:5" ht="15" customHeight="1" x14ac:dyDescent="0.25">
      <c r="A478" s="463" t="s">
        <v>725</v>
      </c>
      <c r="B478" s="403" t="str">
        <f>_xlfn.XLOOKUP(tbl_cleaning[[#This Row],[Scheme/Estate]],[1]!tbl_survey[Scheme Name],[1]!tbl_survey[Internal],"Not rated")</f>
        <v>Not rated</v>
      </c>
      <c r="C478" s="403" t="e">
        <f t="array" ref="C478">IF(DATEVALUE([1]!tbl_survey[Date of inspection])&gt;DATEVALUE(B474),_xlfn.XLOOKUP(tbl_cleaning[[#This Row],[Scheme/Estate]],[1]!tbl_survey[Scheme Name],[1]!tbl_survey[Internal],"Not rated"),"Not rated")</f>
        <v>#VALUE!</v>
      </c>
      <c r="D478" s="432" t="s">
        <v>1372</v>
      </c>
      <c r="E478" s="449" t="s">
        <v>60</v>
      </c>
    </row>
    <row r="479" spans="1:5" ht="15" customHeight="1" x14ac:dyDescent="0.25">
      <c r="A479" s="467" t="s">
        <v>726</v>
      </c>
      <c r="B479" s="403" t="str">
        <f>_xlfn.XLOOKUP(tbl_cleaning[[#This Row],[Scheme/Estate]],[1]!tbl_survey[Scheme Name],[1]!tbl_survey[Internal],"Not rated")</f>
        <v>Not rated</v>
      </c>
      <c r="C479" s="403" t="e">
        <f t="array" ref="C479">IF(DATEVALUE([1]!tbl_survey[Date of inspection])&gt;DATEVALUE(B475),_xlfn.XLOOKUP(tbl_cleaning[[#This Row],[Scheme/Estate]],[1]!tbl_survey[Scheme Name],[1]!tbl_survey[Internal],"Not rated"),"Not rated")</f>
        <v>#VALUE!</v>
      </c>
      <c r="D479" s="432" t="s">
        <v>1378</v>
      </c>
      <c r="E479" s="443" t="s">
        <v>87</v>
      </c>
    </row>
    <row r="480" spans="1:5" ht="15" customHeight="1" x14ac:dyDescent="0.25">
      <c r="A480" s="391" t="s">
        <v>728</v>
      </c>
      <c r="B480" s="403" t="str">
        <f>_xlfn.XLOOKUP(tbl_cleaning[[#This Row],[Scheme/Estate]],[1]!tbl_survey[Scheme Name],[1]!tbl_survey[Internal],"Not rated")</f>
        <v>Not rated</v>
      </c>
      <c r="C480" s="403" t="e">
        <f t="array" ref="C480">IF(DATEVALUE([1]!tbl_survey[Date of inspection])&gt;DATEVALUE(B476),_xlfn.XLOOKUP(tbl_cleaning[[#This Row],[Scheme/Estate]],[1]!tbl_survey[Scheme Name],[1]!tbl_survey[Internal],"Not rated"),"Not rated")</f>
        <v>#VALUE!</v>
      </c>
      <c r="D480" s="432" t="s">
        <v>1371</v>
      </c>
      <c r="E480" s="154" t="s">
        <v>58</v>
      </c>
    </row>
    <row r="481" spans="1:5" ht="15" customHeight="1" x14ac:dyDescent="0.25">
      <c r="A481" s="391" t="s">
        <v>730</v>
      </c>
      <c r="B481" s="403" t="str">
        <f>_xlfn.XLOOKUP(tbl_cleaning[[#This Row],[Scheme/Estate]],[1]!tbl_survey[Scheme Name],[1]!tbl_survey[Internal],"Not rated")</f>
        <v>Not rated</v>
      </c>
      <c r="C481" s="403" t="e">
        <f t="array" ref="C481">IF(DATEVALUE([1]!tbl_survey[Date of inspection])&gt;DATEVALUE(B477),_xlfn.XLOOKUP(tbl_cleaning[[#This Row],[Scheme/Estate]],[1]!tbl_survey[Scheme Name],[1]!tbl_survey[Internal],"Not rated"),"Not rated")</f>
        <v>#VALUE!</v>
      </c>
      <c r="D481" s="432" t="s">
        <v>1363</v>
      </c>
      <c r="E481" s="154" t="s">
        <v>58</v>
      </c>
    </row>
    <row r="482" spans="1:5" ht="15" customHeight="1" x14ac:dyDescent="0.25">
      <c r="A482" s="470" t="s">
        <v>731</v>
      </c>
      <c r="B482" s="403" t="str">
        <f>_xlfn.XLOOKUP(tbl_cleaning[[#This Row],[Scheme/Estate]],[1]!tbl_survey[Scheme Name],[1]!tbl_survey[Internal],"Not rated")</f>
        <v>Not rated</v>
      </c>
      <c r="C482" s="403" t="e">
        <f t="array" ref="C482">IF(DATEVALUE([1]!tbl_survey[Date of inspection])&gt;DATEVALUE(B478),_xlfn.XLOOKUP(tbl_cleaning[[#This Row],[Scheme/Estate]],[1]!tbl_survey[Scheme Name],[1]!tbl_survey[Internal],"Not rated"),"Not rated")</f>
        <v>#VALUE!</v>
      </c>
      <c r="D482" s="432" t="s">
        <v>1378</v>
      </c>
      <c r="E482" s="443" t="s">
        <v>87</v>
      </c>
    </row>
    <row r="483" spans="1:5" ht="15" customHeight="1" x14ac:dyDescent="0.25">
      <c r="A483" s="391" t="s">
        <v>732</v>
      </c>
      <c r="B483" s="403" t="str">
        <f>_xlfn.XLOOKUP(tbl_cleaning[[#This Row],[Scheme/Estate]],[1]!tbl_survey[Scheme Name],[1]!tbl_survey[Internal],"Not rated")</f>
        <v>Not rated</v>
      </c>
      <c r="C483" s="403" t="e">
        <f t="array" ref="C483">IF(DATEVALUE([1]!tbl_survey[Date of inspection])&gt;DATEVALUE(B479),_xlfn.XLOOKUP(tbl_cleaning[[#This Row],[Scheme/Estate]],[1]!tbl_survey[Scheme Name],[1]!tbl_survey[Internal],"Not rated"),"Not rated")</f>
        <v>#VALUE!</v>
      </c>
      <c r="D483" s="432" t="s">
        <v>1383</v>
      </c>
      <c r="E483" s="449" t="s">
        <v>87</v>
      </c>
    </row>
    <row r="484" spans="1:5" ht="15" customHeight="1" x14ac:dyDescent="0.25">
      <c r="A484" s="462" t="s">
        <v>733</v>
      </c>
      <c r="B484" s="403" t="str">
        <f>_xlfn.XLOOKUP(tbl_cleaning[[#This Row],[Scheme/Estate]],[1]!tbl_survey[Scheme Name],[1]!tbl_survey[Internal],"Not rated")</f>
        <v>Not rated</v>
      </c>
      <c r="C484" s="403" t="e">
        <f t="array" ref="C484">IF(DATEVALUE([1]!tbl_survey[Date of inspection])&gt;DATEVALUE(B480),_xlfn.XLOOKUP(tbl_cleaning[[#This Row],[Scheme/Estate]],[1]!tbl_survey[Scheme Name],[1]!tbl_survey[Internal],"Not rated"),"Not rated")</f>
        <v>#VALUE!</v>
      </c>
      <c r="D484" s="432" t="s">
        <v>1369</v>
      </c>
      <c r="E484" s="154" t="s">
        <v>58</v>
      </c>
    </row>
    <row r="485" spans="1:5" ht="15" customHeight="1" x14ac:dyDescent="0.25">
      <c r="A485" s="462" t="s">
        <v>734</v>
      </c>
      <c r="B485" s="403" t="str">
        <f>_xlfn.XLOOKUP(tbl_cleaning[[#This Row],[Scheme/Estate]],[1]!tbl_survey[Scheme Name],[1]!tbl_survey[Internal],"Not rated")</f>
        <v>Not rated</v>
      </c>
      <c r="C485" s="403" t="e">
        <f t="array" ref="C485">IF(DATEVALUE([1]!tbl_survey[Date of inspection])&gt;DATEVALUE(B481),_xlfn.XLOOKUP(tbl_cleaning[[#This Row],[Scheme/Estate]],[1]!tbl_survey[Scheme Name],[1]!tbl_survey[Internal],"Not rated"),"Not rated")</f>
        <v>#VALUE!</v>
      </c>
      <c r="D485" s="432" t="s">
        <v>1372</v>
      </c>
      <c r="E485" s="450" t="s">
        <v>60</v>
      </c>
    </row>
    <row r="486" spans="1:5" ht="15" customHeight="1" x14ac:dyDescent="0.25">
      <c r="A486" s="463" t="s">
        <v>735</v>
      </c>
      <c r="B486" s="403" t="str">
        <f>_xlfn.XLOOKUP(tbl_cleaning[[#This Row],[Scheme/Estate]],[1]!tbl_survey[Scheme Name],[1]!tbl_survey[Internal],"Not rated")</f>
        <v>Not rated</v>
      </c>
      <c r="C486" s="403" t="e">
        <f t="array" ref="C486">IF(DATEVALUE([1]!tbl_survey[Date of inspection])&gt;DATEVALUE(B482),_xlfn.XLOOKUP(tbl_cleaning[[#This Row],[Scheme/Estate]],[1]!tbl_survey[Scheme Name],[1]!tbl_survey[Internal],"Not rated"),"Not rated")</f>
        <v>#VALUE!</v>
      </c>
      <c r="D486" s="432" t="s">
        <v>1387</v>
      </c>
      <c r="E486" s="446" t="s">
        <v>93</v>
      </c>
    </row>
    <row r="487" spans="1:5" ht="15" customHeight="1" x14ac:dyDescent="0.25">
      <c r="A487" s="467" t="s">
        <v>736</v>
      </c>
      <c r="B487" s="403" t="str">
        <f>_xlfn.XLOOKUP(tbl_cleaning[[#This Row],[Scheme/Estate]],[1]!tbl_survey[Scheme Name],[1]!tbl_survey[Internal],"Not rated")</f>
        <v>Not rated</v>
      </c>
      <c r="C487" s="403" t="e">
        <f t="array" ref="C487">IF(DATEVALUE([1]!tbl_survey[Date of inspection])&gt;DATEVALUE(B483),_xlfn.XLOOKUP(tbl_cleaning[[#This Row],[Scheme/Estate]],[1]!tbl_survey[Scheme Name],[1]!tbl_survey[Internal],"Not rated"),"Not rated")</f>
        <v>#VALUE!</v>
      </c>
      <c r="D487" s="432" t="s">
        <v>1378</v>
      </c>
      <c r="E487" s="154" t="s">
        <v>87</v>
      </c>
    </row>
    <row r="488" spans="1:5" ht="15" customHeight="1" x14ac:dyDescent="0.25">
      <c r="A488" s="463" t="s">
        <v>737</v>
      </c>
      <c r="B488" s="403" t="str">
        <f>_xlfn.XLOOKUP(tbl_cleaning[[#This Row],[Scheme/Estate]],[1]!tbl_survey[Scheme Name],[1]!tbl_survey[Internal],"Not rated")</f>
        <v>Not rated</v>
      </c>
      <c r="C488" s="403" t="e">
        <f t="array" ref="C488">IF(DATEVALUE([1]!tbl_survey[Date of inspection])&gt;DATEVALUE(B484),_xlfn.XLOOKUP(tbl_cleaning[[#This Row],[Scheme/Estate]],[1]!tbl_survey[Scheme Name],[1]!tbl_survey[Internal],"Not rated"),"Not rated")</f>
        <v>#VALUE!</v>
      </c>
      <c r="D488" s="432" t="s">
        <v>1370</v>
      </c>
      <c r="E488" s="154" t="s">
        <v>93</v>
      </c>
    </row>
    <row r="489" spans="1:5" ht="15" customHeight="1" x14ac:dyDescent="0.25">
      <c r="A489" s="462" t="s">
        <v>738</v>
      </c>
      <c r="B489" s="403" t="str">
        <f>_xlfn.XLOOKUP(tbl_cleaning[[#This Row],[Scheme/Estate]],[1]!tbl_survey[Scheme Name],[1]!tbl_survey[Internal],"Not rated")</f>
        <v>Not rated</v>
      </c>
      <c r="C489" s="403" t="e">
        <f t="array" ref="C489">IF(DATEVALUE([1]!tbl_survey[Date of inspection])&gt;DATEVALUE(B485),_xlfn.XLOOKUP(tbl_cleaning[[#This Row],[Scheme/Estate]],[1]!tbl_survey[Scheme Name],[1]!tbl_survey[Internal],"Not rated"),"Not rated")</f>
        <v>#VALUE!</v>
      </c>
      <c r="D489" s="432" t="s">
        <v>1378</v>
      </c>
      <c r="E489" s="453" t="s">
        <v>87</v>
      </c>
    </row>
    <row r="490" spans="1:5" ht="15" customHeight="1" x14ac:dyDescent="0.25">
      <c r="A490" s="462" t="s">
        <v>739</v>
      </c>
      <c r="B490" s="403" t="str">
        <f>_xlfn.XLOOKUP(tbl_cleaning[[#This Row],[Scheme/Estate]],[1]!tbl_survey[Scheme Name],[1]!tbl_survey[Internal],"Not rated")</f>
        <v>Not rated</v>
      </c>
      <c r="C490" s="403" t="e">
        <f t="array" ref="C490">IF(DATEVALUE([1]!tbl_survey[Date of inspection])&gt;DATEVALUE(B486),_xlfn.XLOOKUP(tbl_cleaning[[#This Row],[Scheme/Estate]],[1]!tbl_survey[Scheme Name],[1]!tbl_survey[Internal],"Not rated"),"Not rated")</f>
        <v>#VALUE!</v>
      </c>
      <c r="D490" s="432" t="s">
        <v>1383</v>
      </c>
      <c r="E490" s="448" t="s">
        <v>87</v>
      </c>
    </row>
    <row r="491" spans="1:5" ht="15" customHeight="1" x14ac:dyDescent="0.25">
      <c r="A491" s="467" t="s">
        <v>740</v>
      </c>
      <c r="B491" s="403" t="str">
        <f>_xlfn.XLOOKUP(tbl_cleaning[[#This Row],[Scheme/Estate]],[1]!tbl_survey[Scheme Name],[1]!tbl_survey[Internal],"Not rated")</f>
        <v>Not rated</v>
      </c>
      <c r="C491" s="403" t="e">
        <f t="array" ref="C491">IF(DATEVALUE([1]!tbl_survey[Date of inspection])&gt;DATEVALUE(B487),_xlfn.XLOOKUP(tbl_cleaning[[#This Row],[Scheme/Estate]],[1]!tbl_survey[Scheme Name],[1]!tbl_survey[Internal],"Not rated"),"Not rated")</f>
        <v>#VALUE!</v>
      </c>
      <c r="D491" s="432" t="s">
        <v>1368</v>
      </c>
      <c r="E491" s="447" t="s">
        <v>60</v>
      </c>
    </row>
    <row r="492" spans="1:5" ht="15" customHeight="1" x14ac:dyDescent="0.25">
      <c r="A492" s="462" t="s">
        <v>741</v>
      </c>
      <c r="B492" s="403" t="str">
        <f>_xlfn.XLOOKUP(tbl_cleaning[[#This Row],[Scheme/Estate]],[1]!tbl_survey[Scheme Name],[1]!tbl_survey[Internal],"Not rated")</f>
        <v>Not rated</v>
      </c>
      <c r="C492" s="403" t="e">
        <f t="array" ref="C492">IF(DATEVALUE([1]!tbl_survey[Date of inspection])&gt;DATEVALUE(B488),_xlfn.XLOOKUP(tbl_cleaning[[#This Row],[Scheme/Estate]],[1]!tbl_survey[Scheme Name],[1]!tbl_survey[Internal],"Not rated"),"Not rated")</f>
        <v>#VALUE!</v>
      </c>
      <c r="D492" s="432" t="s">
        <v>1378</v>
      </c>
      <c r="E492" s="448" t="s">
        <v>87</v>
      </c>
    </row>
    <row r="493" spans="1:5" ht="15" customHeight="1" x14ac:dyDescent="0.25">
      <c r="A493" s="463" t="s">
        <v>742</v>
      </c>
      <c r="B493" s="403" t="str">
        <f>_xlfn.XLOOKUP(tbl_cleaning[[#This Row],[Scheme/Estate]],[1]!tbl_survey[Scheme Name],[1]!tbl_survey[Internal],"Not rated")</f>
        <v>Not rated</v>
      </c>
      <c r="C493" s="403" t="e">
        <f t="array" ref="C493">IF(DATEVALUE([1]!tbl_survey[Date of inspection])&gt;DATEVALUE(B489),_xlfn.XLOOKUP(tbl_cleaning[[#This Row],[Scheme/Estate]],[1]!tbl_survey[Scheme Name],[1]!tbl_survey[Internal],"Not rated"),"Not rated")</f>
        <v>#VALUE!</v>
      </c>
      <c r="D493" s="432" t="s">
        <v>1385</v>
      </c>
      <c r="E493" s="447" t="s">
        <v>93</v>
      </c>
    </row>
    <row r="494" spans="1:5" ht="15" customHeight="1" x14ac:dyDescent="0.25">
      <c r="A494" s="462" t="s">
        <v>743</v>
      </c>
      <c r="B494" s="403">
        <f>_xlfn.XLOOKUP(tbl_cleaning[[#This Row],[Scheme/Estate]],[1]!tbl_survey[Scheme Name],[1]!tbl_survey[Internal],"Not rated")</f>
        <v>3</v>
      </c>
      <c r="C494" s="403" t="e">
        <f t="array" ref="C494">IF(DATEVALUE([1]!tbl_survey[Date of inspection])&gt;DATEVALUE(B490),_xlfn.XLOOKUP(tbl_cleaning[[#This Row],[Scheme/Estate]],[1]!tbl_survey[Scheme Name],[1]!tbl_survey[Internal],"Not rated"),"Not rated")</f>
        <v>#VALUE!</v>
      </c>
      <c r="D494" s="432" t="s">
        <v>1380</v>
      </c>
      <c r="E494" s="446" t="s">
        <v>60</v>
      </c>
    </row>
    <row r="495" spans="1:5" ht="15" customHeight="1" x14ac:dyDescent="0.25">
      <c r="A495" s="465" t="s">
        <v>744</v>
      </c>
      <c r="B495" s="403" t="str">
        <f>_xlfn.XLOOKUP(tbl_cleaning[[#This Row],[Scheme/Estate]],[1]!tbl_survey[Scheme Name],[1]!tbl_survey[Internal],"Not rated")</f>
        <v>Not rated</v>
      </c>
      <c r="C495" s="403" t="e">
        <f t="array" ref="C495">IF(DATEVALUE([1]!tbl_survey[Date of inspection])&gt;DATEVALUE(B491),_xlfn.XLOOKUP(tbl_cleaning[[#This Row],[Scheme/Estate]],[1]!tbl_survey[Scheme Name],[1]!tbl_survey[Internal],"Not rated"),"Not rated")</f>
        <v>#VALUE!</v>
      </c>
      <c r="D495" s="432" t="s">
        <v>1381</v>
      </c>
      <c r="E495" s="154" t="s">
        <v>60</v>
      </c>
    </row>
    <row r="496" spans="1:5" ht="15" customHeight="1" x14ac:dyDescent="0.25">
      <c r="A496" s="463" t="s">
        <v>745</v>
      </c>
      <c r="B496" s="403" t="str">
        <f>_xlfn.XLOOKUP(tbl_cleaning[[#This Row],[Scheme/Estate]],[1]!tbl_survey[Scheme Name],[1]!tbl_survey[Internal],"Not rated")</f>
        <v>Not rated</v>
      </c>
      <c r="C496" s="403" t="e">
        <f t="array" ref="C496">IF(DATEVALUE([1]!tbl_survey[Date of inspection])&gt;DATEVALUE(B492),_xlfn.XLOOKUP(tbl_cleaning[[#This Row],[Scheme/Estate]],[1]!tbl_survey[Scheme Name],[1]!tbl_survey[Internal],"Not rated"),"Not rated")</f>
        <v>#VALUE!</v>
      </c>
      <c r="D496" s="432" t="s">
        <v>1385</v>
      </c>
      <c r="E496" s="154" t="s">
        <v>93</v>
      </c>
    </row>
    <row r="497" spans="1:6" ht="15" customHeight="1" x14ac:dyDescent="0.25">
      <c r="A497" s="462" t="s">
        <v>749</v>
      </c>
      <c r="B497" s="403" t="str">
        <f>_xlfn.XLOOKUP(tbl_cleaning[[#This Row],[Scheme/Estate]],[1]!tbl_survey[Scheme Name],[1]!tbl_survey[Internal],"Not rated")</f>
        <v>Not rated</v>
      </c>
      <c r="C497" s="403" t="e">
        <f t="array" ref="C497">IF(DATEVALUE([1]!tbl_survey[Date of inspection])&gt;DATEVALUE(B493),_xlfn.XLOOKUP(tbl_cleaning[[#This Row],[Scheme/Estate]],[1]!tbl_survey[Scheme Name],[1]!tbl_survey[Internal],"Not rated"),"Not rated")</f>
        <v>#VALUE!</v>
      </c>
      <c r="D497" s="432" t="s">
        <v>1368</v>
      </c>
      <c r="E497" s="154" t="s">
        <v>60</v>
      </c>
    </row>
    <row r="498" spans="1:6" ht="15" customHeight="1" x14ac:dyDescent="0.25">
      <c r="A498" s="462" t="s">
        <v>750</v>
      </c>
      <c r="B498" s="403" t="str">
        <f>_xlfn.XLOOKUP(tbl_cleaning[[#This Row],[Scheme/Estate]],[1]!tbl_survey[Scheme Name],[1]!tbl_survey[Internal],"Not rated")</f>
        <v>Not rated</v>
      </c>
      <c r="C498" s="403" t="e">
        <f t="array" ref="C498">IF(DATEVALUE([1]!tbl_survey[Date of inspection])&gt;DATEVALUE(B494),_xlfn.XLOOKUP(tbl_cleaning[[#This Row],[Scheme/Estate]],[1]!tbl_survey[Scheme Name],[1]!tbl_survey[Internal],"Not rated"),"Not rated")</f>
        <v>#VALUE!</v>
      </c>
      <c r="D498" s="432" t="s">
        <v>1380</v>
      </c>
      <c r="E498" s="449" t="s">
        <v>60</v>
      </c>
    </row>
    <row r="499" spans="1:6" ht="15" customHeight="1" x14ac:dyDescent="0.25">
      <c r="A499" s="462" t="s">
        <v>752</v>
      </c>
      <c r="B499" s="403" t="str">
        <f>_xlfn.XLOOKUP(tbl_cleaning[[#This Row],[Scheme/Estate]],[1]!tbl_survey[Scheme Name],[1]!tbl_survey[Internal],"Not rated")</f>
        <v>Not rated</v>
      </c>
      <c r="C499" s="403" t="e">
        <f t="array" ref="C499">IF(DATEVALUE([1]!tbl_survey[Date of inspection])&gt;DATEVALUE(B495),_xlfn.XLOOKUP(tbl_cleaning[[#This Row],[Scheme/Estate]],[1]!tbl_survey[Scheme Name],[1]!tbl_survey[Internal],"Not rated"),"Not rated")</f>
        <v>#VALUE!</v>
      </c>
      <c r="D499" s="432" t="s">
        <v>1375</v>
      </c>
      <c r="E499" s="154" t="s">
        <v>60</v>
      </c>
    </row>
    <row r="500" spans="1:6" ht="15" customHeight="1" x14ac:dyDescent="0.25">
      <c r="A500" s="477" t="s">
        <v>753</v>
      </c>
      <c r="B500" s="403" t="str">
        <f>_xlfn.XLOOKUP(tbl_cleaning[[#This Row],[Scheme/Estate]],[1]!tbl_survey[Scheme Name],[1]!tbl_survey[Internal],"Not rated")</f>
        <v>Not rated</v>
      </c>
      <c r="C500" s="403" t="e">
        <f t="array" ref="C500">IF(DATEVALUE([1]!tbl_survey[Date of inspection])&gt;DATEVALUE(B496),_xlfn.XLOOKUP(tbl_cleaning[[#This Row],[Scheme/Estate]],[1]!tbl_survey[Scheme Name],[1]!tbl_survey[Internal],"Not rated"),"Not rated")</f>
        <v>#VALUE!</v>
      </c>
      <c r="D500" s="432" t="s">
        <v>1381</v>
      </c>
      <c r="E500" s="451" t="s">
        <v>60</v>
      </c>
    </row>
    <row r="501" spans="1:6" ht="15" customHeight="1" x14ac:dyDescent="0.25">
      <c r="A501" s="462" t="s">
        <v>1344</v>
      </c>
      <c r="B501" s="403">
        <f>_xlfn.XLOOKUP(tbl_cleaning[[#This Row],[Scheme/Estate]],[1]!tbl_survey[Scheme Name],[1]!tbl_survey[Internal],"Not rated")</f>
        <v>3</v>
      </c>
      <c r="C501" s="403" t="e">
        <f t="array" ref="C501">IF(DATEVALUE([1]!tbl_survey[Date of inspection])&gt;DATEVALUE(B497),_xlfn.XLOOKUP(tbl_cleaning[[#This Row],[Scheme/Estate]],[1]!tbl_survey[Scheme Name],[1]!tbl_survey[Internal],"Not rated"),"Not rated")</f>
        <v>#VALUE!</v>
      </c>
      <c r="D501" s="432" t="s">
        <v>1366</v>
      </c>
      <c r="E501" s="443" t="s">
        <v>87</v>
      </c>
    </row>
    <row r="502" spans="1:6" ht="15" customHeight="1" x14ac:dyDescent="0.25">
      <c r="A502" s="467" t="s">
        <v>755</v>
      </c>
      <c r="B502" s="403" t="str">
        <f>_xlfn.XLOOKUP(tbl_cleaning[[#This Row],[Scheme/Estate]],[1]!tbl_survey[Scheme Name],[1]!tbl_survey[Internal],"Not rated")</f>
        <v>Not rated</v>
      </c>
      <c r="C502" s="403" t="e">
        <f t="array" ref="C502">IF(DATEVALUE([1]!tbl_survey[Date of inspection])&gt;DATEVALUE(B498),_xlfn.XLOOKUP(tbl_cleaning[[#This Row],[Scheme/Estate]],[1]!tbl_survey[Scheme Name],[1]!tbl_survey[Internal],"Not rated"),"Not rated")</f>
        <v>#VALUE!</v>
      </c>
      <c r="D502" s="432" t="s">
        <v>1380</v>
      </c>
      <c r="E502" s="154" t="s">
        <v>60</v>
      </c>
    </row>
    <row r="503" spans="1:6" ht="15" customHeight="1" x14ac:dyDescent="0.25">
      <c r="A503" s="468" t="s">
        <v>756</v>
      </c>
      <c r="B503" s="403" t="str">
        <f>_xlfn.XLOOKUP(tbl_cleaning[[#This Row],[Scheme/Estate]],[1]!tbl_survey[Scheme Name],[1]!tbl_survey[Internal],"Not rated")</f>
        <v>Not rated</v>
      </c>
      <c r="C503" s="403" t="e">
        <f t="array" ref="C503">IF(DATEVALUE([1]!tbl_survey[Date of inspection])&gt;DATEVALUE(B499),_xlfn.XLOOKUP(tbl_cleaning[[#This Row],[Scheme/Estate]],[1]!tbl_survey[Scheme Name],[1]!tbl_survey[Internal],"Not rated"),"Not rated")</f>
        <v>#VALUE!</v>
      </c>
      <c r="D503" s="432" t="s">
        <v>1379</v>
      </c>
      <c r="E503" s="154" t="s">
        <v>58</v>
      </c>
      <c r="F503" t="s">
        <v>1425</v>
      </c>
    </row>
    <row r="504" spans="1:6" ht="15" customHeight="1" x14ac:dyDescent="0.25">
      <c r="A504" s="462" t="s">
        <v>1356</v>
      </c>
      <c r="B504" s="403" t="str">
        <f>_xlfn.XLOOKUP(tbl_cleaning[[#This Row],[Scheme/Estate]],[1]!tbl_survey[Scheme Name],[1]!tbl_survey[Internal],"Not rated")</f>
        <v>Not rated</v>
      </c>
      <c r="C504" s="403" t="e">
        <f t="array" ref="C504">IF(DATEVALUE([1]!tbl_survey[Date of inspection])&gt;DATEVALUE(B500),_xlfn.XLOOKUP(tbl_cleaning[[#This Row],[Scheme/Estate]],[1]!tbl_survey[Scheme Name],[1]!tbl_survey[Internal],"Not rated"),"Not rated")</f>
        <v>#VALUE!</v>
      </c>
      <c r="D504" s="432" t="s">
        <v>1365</v>
      </c>
      <c r="E504" s="154" t="s">
        <v>87</v>
      </c>
    </row>
    <row r="505" spans="1:6" ht="15" customHeight="1" x14ac:dyDescent="0.25">
      <c r="A505" s="391" t="s">
        <v>757</v>
      </c>
      <c r="B505" s="403" t="str">
        <f>_xlfn.XLOOKUP(tbl_cleaning[[#This Row],[Scheme/Estate]],[1]!tbl_survey[Scheme Name],[1]!tbl_survey[Internal],"Not rated")</f>
        <v>Not rated</v>
      </c>
      <c r="C505" s="403" t="e">
        <f t="array" ref="C505">IF(DATEVALUE([1]!tbl_survey[Date of inspection])&gt;DATEVALUE(B501),_xlfn.XLOOKUP(tbl_cleaning[[#This Row],[Scheme/Estate]],[1]!tbl_survey[Scheme Name],[1]!tbl_survey[Internal],"Not rated"),"Not rated")</f>
        <v>#VALUE!</v>
      </c>
      <c r="D505" s="432" t="s">
        <v>1371</v>
      </c>
      <c r="E505" s="154" t="s">
        <v>58</v>
      </c>
    </row>
    <row r="506" spans="1:6" ht="15" customHeight="1" x14ac:dyDescent="0.25">
      <c r="A506" s="391" t="s">
        <v>758</v>
      </c>
      <c r="B506" s="403" t="str">
        <f>_xlfn.XLOOKUP(tbl_cleaning[[#This Row],[Scheme/Estate]],[1]!tbl_survey[Scheme Name],[1]!tbl_survey[Internal],"Not rated")</f>
        <v>Not rated</v>
      </c>
      <c r="C506" s="403" t="e">
        <f t="array" ref="C506">IF(DATEVALUE([1]!tbl_survey[Date of inspection])&gt;DATEVALUE(B502),_xlfn.XLOOKUP(tbl_cleaning[[#This Row],[Scheme/Estate]],[1]!tbl_survey[Scheme Name],[1]!tbl_survey[Internal],"Not rated"),"Not rated")</f>
        <v>#VALUE!</v>
      </c>
      <c r="D506" s="432" t="s">
        <v>1366</v>
      </c>
      <c r="E506" s="450" t="s">
        <v>87</v>
      </c>
    </row>
    <row r="507" spans="1:6" ht="15" customHeight="1" x14ac:dyDescent="0.25">
      <c r="A507" s="462" t="s">
        <v>759</v>
      </c>
      <c r="B507" s="403" t="str">
        <f>_xlfn.XLOOKUP(tbl_cleaning[[#This Row],[Scheme/Estate]],[1]!tbl_survey[Scheme Name],[1]!tbl_survey[Internal],"Not rated")</f>
        <v>Not rated</v>
      </c>
      <c r="C507" s="403" t="e">
        <f t="array" ref="C507">IF(DATEVALUE([1]!tbl_survey[Date of inspection])&gt;DATEVALUE(B503),_xlfn.XLOOKUP(tbl_cleaning[[#This Row],[Scheme/Estate]],[1]!tbl_survey[Scheme Name],[1]!tbl_survey[Internal],"Not rated"),"Not rated")</f>
        <v>#VALUE!</v>
      </c>
      <c r="D507" s="432" t="s">
        <v>1375</v>
      </c>
      <c r="E507" s="447" t="s">
        <v>60</v>
      </c>
    </row>
    <row r="508" spans="1:6" ht="15" customHeight="1" x14ac:dyDescent="0.25">
      <c r="A508" s="483" t="s">
        <v>760</v>
      </c>
      <c r="B508" s="403" t="str">
        <f>_xlfn.XLOOKUP(tbl_cleaning[[#This Row],[Scheme/Estate]],[1]!tbl_survey[Scheme Name],[1]!tbl_survey[Internal],"Not rated")</f>
        <v>Not rated</v>
      </c>
      <c r="C508" s="403" t="e">
        <f t="array" ref="C508">IF(DATEVALUE([1]!tbl_survey[Date of inspection])&gt;DATEVALUE(B504),_xlfn.XLOOKUP(tbl_cleaning[[#This Row],[Scheme/Estate]],[1]!tbl_survey[Scheme Name],[1]!tbl_survey[Internal],"Not rated"),"Not rated")</f>
        <v>#VALUE!</v>
      </c>
      <c r="D508" s="432" t="s">
        <v>1366</v>
      </c>
      <c r="E508" s="448" t="s">
        <v>87</v>
      </c>
    </row>
    <row r="509" spans="1:6" ht="15" customHeight="1" x14ac:dyDescent="0.25">
      <c r="A509" s="463" t="s">
        <v>761</v>
      </c>
      <c r="B509" s="403" t="str">
        <f>_xlfn.XLOOKUP(tbl_cleaning[[#This Row],[Scheme/Estate]],[1]!tbl_survey[Scheme Name],[1]!tbl_survey[Internal],"Not rated")</f>
        <v>Not rated</v>
      </c>
      <c r="C509" s="403" t="e">
        <f t="array" ref="C509">IF(DATEVALUE([1]!tbl_survey[Date of inspection])&gt;DATEVALUE(B505),_xlfn.XLOOKUP(tbl_cleaning[[#This Row],[Scheme/Estate]],[1]!tbl_survey[Scheme Name],[1]!tbl_survey[Internal],"Not rated"),"Not rated")</f>
        <v>#VALUE!</v>
      </c>
      <c r="D509" s="432" t="s">
        <v>1371</v>
      </c>
      <c r="E509" s="447" t="s">
        <v>58</v>
      </c>
    </row>
    <row r="510" spans="1:6" ht="15" customHeight="1" x14ac:dyDescent="0.25">
      <c r="A510" s="462" t="s">
        <v>762</v>
      </c>
      <c r="B510" s="403" t="str">
        <f>_xlfn.XLOOKUP(tbl_cleaning[[#This Row],[Scheme/Estate]],[1]!tbl_survey[Scheme Name],[1]!tbl_survey[Internal],"Not rated")</f>
        <v>Not rated</v>
      </c>
      <c r="C510" s="403" t="e">
        <f t="array" ref="C510">IF(DATEVALUE([1]!tbl_survey[Date of inspection])&gt;DATEVALUE(B506),_xlfn.XLOOKUP(tbl_cleaning[[#This Row],[Scheme/Estate]],[1]!tbl_survey[Scheme Name],[1]!tbl_survey[Internal],"Not rated"),"Not rated")</f>
        <v>#VALUE!</v>
      </c>
      <c r="D510" s="432" t="s">
        <v>1378</v>
      </c>
      <c r="E510" s="448" t="s">
        <v>87</v>
      </c>
    </row>
    <row r="511" spans="1:6" ht="15" customHeight="1" x14ac:dyDescent="0.25">
      <c r="A511" s="462" t="s">
        <v>1345</v>
      </c>
      <c r="B511" s="403" t="str">
        <f>_xlfn.XLOOKUP(tbl_cleaning[[#This Row],[Scheme/Estate]],[1]!tbl_survey[Scheme Name],[1]!tbl_survey[Internal],"Not rated")</f>
        <v>Not rated</v>
      </c>
      <c r="C511" s="403" t="e">
        <f t="array" ref="C511">IF(DATEVALUE([1]!tbl_survey[Date of inspection])&gt;DATEVALUE(B507),_xlfn.XLOOKUP(tbl_cleaning[[#This Row],[Scheme/Estate]],[1]!tbl_survey[Scheme Name],[1]!tbl_survey[Internal],"Not rated"),"Not rated")</f>
        <v>#VALUE!</v>
      </c>
      <c r="D511" s="432" t="s">
        <v>1375</v>
      </c>
      <c r="E511" s="446" t="s">
        <v>60</v>
      </c>
    </row>
    <row r="512" spans="1:6" ht="15" customHeight="1" x14ac:dyDescent="0.25">
      <c r="A512" s="463" t="s">
        <v>767</v>
      </c>
      <c r="B512" s="403" t="str">
        <f>_xlfn.XLOOKUP(tbl_cleaning[[#This Row],[Scheme/Estate]],[1]!tbl_survey[Scheme Name],[1]!tbl_survey[Internal],"Not rated")</f>
        <v>Not rated</v>
      </c>
      <c r="C512" s="403" t="e">
        <f t="array" ref="C512">IF(DATEVALUE([1]!tbl_survey[Date of inspection])&gt;DATEVALUE(B508),_xlfn.XLOOKUP(tbl_cleaning[[#This Row],[Scheme/Estate]],[1]!tbl_survey[Scheme Name],[1]!tbl_survey[Internal],"Not rated"),"Not rated")</f>
        <v>#VALUE!</v>
      </c>
      <c r="D512" s="432" t="s">
        <v>1386</v>
      </c>
      <c r="E512" s="154" t="s">
        <v>93</v>
      </c>
    </row>
    <row r="513" spans="1:5" ht="15" customHeight="1" x14ac:dyDescent="0.25">
      <c r="A513" s="462" t="s">
        <v>770</v>
      </c>
      <c r="B513" s="403" t="str">
        <f>_xlfn.XLOOKUP(tbl_cleaning[[#This Row],[Scheme/Estate]],[1]!tbl_survey[Scheme Name],[1]!tbl_survey[Internal],"Not rated")</f>
        <v>Not rated</v>
      </c>
      <c r="C513" s="403" t="e">
        <f t="array" ref="C513">IF(DATEVALUE([1]!tbl_survey[Date of inspection])&gt;DATEVALUE(B509),_xlfn.XLOOKUP(tbl_cleaning[[#This Row],[Scheme/Estate]],[1]!tbl_survey[Scheme Name],[1]!tbl_survey[Internal],"Not rated"),"Not rated")</f>
        <v>#VALUE!</v>
      </c>
      <c r="D513" s="432" t="s">
        <v>1380</v>
      </c>
      <c r="E513" s="154" t="s">
        <v>60</v>
      </c>
    </row>
    <row r="514" spans="1:5" ht="15" customHeight="1" x14ac:dyDescent="0.25">
      <c r="A514" s="463" t="s">
        <v>771</v>
      </c>
      <c r="B514" s="403" t="str">
        <f>_xlfn.XLOOKUP(tbl_cleaning[[#This Row],[Scheme/Estate]],[1]!tbl_survey[Scheme Name],[1]!tbl_survey[Internal],"Not rated")</f>
        <v>Not rated</v>
      </c>
      <c r="C514" s="403" t="e">
        <f t="array" ref="C514">IF(DATEVALUE([1]!tbl_survey[Date of inspection])&gt;DATEVALUE(B510),_xlfn.XLOOKUP(tbl_cleaning[[#This Row],[Scheme/Estate]],[1]!tbl_survey[Scheme Name],[1]!tbl_survey[Internal],"Not rated"),"Not rated")</f>
        <v>#VALUE!</v>
      </c>
      <c r="D514" s="432" t="s">
        <v>1388</v>
      </c>
      <c r="E514" s="154" t="s">
        <v>93</v>
      </c>
    </row>
    <row r="515" spans="1:5" ht="15" customHeight="1" x14ac:dyDescent="0.25">
      <c r="A515" s="483" t="s">
        <v>772</v>
      </c>
      <c r="B515" s="403" t="str">
        <f>_xlfn.XLOOKUP(tbl_cleaning[[#This Row],[Scheme/Estate]],[1]!tbl_survey[Scheme Name],[1]!tbl_survey[Internal],"Not rated")</f>
        <v>Not rated</v>
      </c>
      <c r="C515" s="403" t="e">
        <f t="array" ref="C515">IF(DATEVALUE([1]!tbl_survey[Date of inspection])&gt;DATEVALUE(B511),_xlfn.XLOOKUP(tbl_cleaning[[#This Row],[Scheme/Estate]],[1]!tbl_survey[Scheme Name],[1]!tbl_survey[Internal],"Not rated"),"Not rated")</f>
        <v>#VALUE!</v>
      </c>
      <c r="D515" s="432" t="s">
        <v>1380</v>
      </c>
      <c r="E515" s="449" t="s">
        <v>60</v>
      </c>
    </row>
    <row r="516" spans="1:5" ht="15" customHeight="1" x14ac:dyDescent="0.25">
      <c r="A516" s="395" t="s">
        <v>773</v>
      </c>
      <c r="B516" s="403" t="str">
        <f>_xlfn.XLOOKUP(tbl_cleaning[[#This Row],[Scheme/Estate]],[1]!tbl_survey[Scheme Name],[1]!tbl_survey[Internal],"Not rated")</f>
        <v>Not rated</v>
      </c>
      <c r="C516" s="403" t="e">
        <f t="array" ref="C516">IF(DATEVALUE([1]!tbl_survey[Date of inspection])&gt;DATEVALUE(B512),_xlfn.XLOOKUP(tbl_cleaning[[#This Row],[Scheme/Estate]],[1]!tbl_survey[Scheme Name],[1]!tbl_survey[Internal],"Not rated"),"Not rated")</f>
        <v>#VALUE!</v>
      </c>
      <c r="D516" s="435" t="s">
        <v>1432</v>
      </c>
      <c r="E516" s="154" t="s">
        <v>87</v>
      </c>
    </row>
    <row r="517" spans="1:5" ht="15" customHeight="1" x14ac:dyDescent="0.25">
      <c r="A517" s="467" t="s">
        <v>774</v>
      </c>
      <c r="B517" s="403" t="str">
        <f>_xlfn.XLOOKUP(tbl_cleaning[[#This Row],[Scheme/Estate]],[1]!tbl_survey[Scheme Name],[1]!tbl_survey[Internal],"Not rated")</f>
        <v>Not rated</v>
      </c>
      <c r="C517" s="403" t="e">
        <f t="array" ref="C517">IF(DATEVALUE([1]!tbl_survey[Date of inspection])&gt;DATEVALUE(B513),_xlfn.XLOOKUP(tbl_cleaning[[#This Row],[Scheme/Estate]],[1]!tbl_survey[Scheme Name],[1]!tbl_survey[Internal],"Not rated"),"Not rated")</f>
        <v>#VALUE!</v>
      </c>
      <c r="D517" s="432" t="s">
        <v>1375</v>
      </c>
      <c r="E517" s="450" t="s">
        <v>60</v>
      </c>
    </row>
    <row r="518" spans="1:5" ht="15" customHeight="1" x14ac:dyDescent="0.25">
      <c r="A518" s="489" t="s">
        <v>775</v>
      </c>
      <c r="B518" s="403" t="str">
        <f>_xlfn.XLOOKUP(tbl_cleaning[[#This Row],[Scheme/Estate]],[1]!tbl_survey[Scheme Name],[1]!tbl_survey[Internal],"Not rated")</f>
        <v>Not rated</v>
      </c>
      <c r="C518" s="403" t="e">
        <f t="array" ref="C518">IF(DATEVALUE([1]!tbl_survey[Date of inspection])&gt;DATEVALUE(B514),_xlfn.XLOOKUP(tbl_cleaning[[#This Row],[Scheme/Estate]],[1]!tbl_survey[Scheme Name],[1]!tbl_survey[Internal],"Not rated"),"Not rated")</f>
        <v>#VALUE!</v>
      </c>
      <c r="D518" s="432" t="s">
        <v>1375</v>
      </c>
      <c r="E518" s="447" t="s">
        <v>60</v>
      </c>
    </row>
    <row r="519" spans="1:5" ht="15" customHeight="1" x14ac:dyDescent="0.25">
      <c r="A519" s="462" t="s">
        <v>776</v>
      </c>
      <c r="B519" s="403" t="str">
        <f>_xlfn.XLOOKUP(tbl_cleaning[[#This Row],[Scheme/Estate]],[1]!tbl_survey[Scheme Name],[1]!tbl_survey[Internal],"Not rated")</f>
        <v>Not rated</v>
      </c>
      <c r="C519" s="403" t="e">
        <f t="array" ref="C519">IF(DATEVALUE([1]!tbl_survey[Date of inspection])&gt;DATEVALUE(B515),_xlfn.XLOOKUP(tbl_cleaning[[#This Row],[Scheme/Estate]],[1]!tbl_survey[Scheme Name],[1]!tbl_survey[Internal],"Not rated"),"Not rated")</f>
        <v>#VALUE!</v>
      </c>
      <c r="D519" s="432" t="s">
        <v>1373</v>
      </c>
      <c r="E519" s="446" t="s">
        <v>58</v>
      </c>
    </row>
    <row r="520" spans="1:5" ht="15" customHeight="1" x14ac:dyDescent="0.25">
      <c r="A520" s="392" t="s">
        <v>777</v>
      </c>
      <c r="B520" s="403" t="str">
        <f>_xlfn.XLOOKUP(tbl_cleaning[[#This Row],[Scheme/Estate]],[1]!tbl_survey[Scheme Name],[1]!tbl_survey[Internal],"Not rated")</f>
        <v>Not rated</v>
      </c>
      <c r="C520" s="403" t="e">
        <f t="array" ref="C520">IF(DATEVALUE([1]!tbl_survey[Date of inspection])&gt;DATEVALUE(B516),_xlfn.XLOOKUP(tbl_cleaning[[#This Row],[Scheme/Estate]],[1]!tbl_survey[Scheme Name],[1]!tbl_survey[Internal],"Not rated"),"Not rated")</f>
        <v>#VALUE!</v>
      </c>
      <c r="D520" s="432" t="s">
        <v>1376</v>
      </c>
      <c r="E520" s="154" t="s">
        <v>60</v>
      </c>
    </row>
    <row r="521" spans="1:5" ht="15" customHeight="1" x14ac:dyDescent="0.25">
      <c r="A521" s="490" t="s">
        <v>1403</v>
      </c>
      <c r="B521" s="403" t="str">
        <f>_xlfn.XLOOKUP(tbl_cleaning[[#This Row],[Scheme/Estate]],[1]!tbl_survey[Scheme Name],[1]!tbl_survey[Internal],"Not rated")</f>
        <v>Not rated</v>
      </c>
      <c r="C521" s="403" t="e">
        <f t="array" ref="C521">IF(DATEVALUE([1]!tbl_survey[Date of inspection])&gt;DATEVALUE(B517),_xlfn.XLOOKUP(tbl_cleaning[[#This Row],[Scheme/Estate]],[1]!tbl_survey[Scheme Name],[1]!tbl_survey[Internal],"Not rated"),"Not rated")</f>
        <v>#VALUE!</v>
      </c>
      <c r="D521" s="432" t="s">
        <v>1371</v>
      </c>
      <c r="E521" s="154" t="s">
        <v>58</v>
      </c>
    </row>
    <row r="522" spans="1:5" ht="15" customHeight="1" x14ac:dyDescent="0.25">
      <c r="A522" s="462" t="s">
        <v>1346</v>
      </c>
      <c r="B522" s="403" t="str">
        <f>_xlfn.XLOOKUP(tbl_cleaning[[#This Row],[Scheme/Estate]],[1]!tbl_survey[Scheme Name],[1]!tbl_survey[Internal],"Not rated")</f>
        <v>Not rated</v>
      </c>
      <c r="C522" s="403" t="e">
        <f t="array" ref="C522">IF(DATEVALUE([1]!tbl_survey[Date of inspection])&gt;DATEVALUE(B518),_xlfn.XLOOKUP(tbl_cleaning[[#This Row],[Scheme/Estate]],[1]!tbl_survey[Scheme Name],[1]!tbl_survey[Internal],"Not rated"),"Not rated")</f>
        <v>#VALUE!</v>
      </c>
      <c r="D522" s="432" t="s">
        <v>1381</v>
      </c>
      <c r="E522" s="449" t="s">
        <v>60</v>
      </c>
    </row>
    <row r="523" spans="1:5" ht="15" customHeight="1" x14ac:dyDescent="0.25">
      <c r="A523" s="462" t="s">
        <v>1428</v>
      </c>
      <c r="B523" s="403" t="str">
        <f>_xlfn.XLOOKUP(tbl_cleaning[[#This Row],[Scheme/Estate]],[1]!tbl_survey[Scheme Name],[1]!tbl_survey[Internal],"Not rated")</f>
        <v>Not rated</v>
      </c>
      <c r="C523" s="403" t="e">
        <f t="array" ref="C523">IF(DATEVALUE([1]!tbl_survey[Date of inspection])&gt;DATEVALUE(B519),_xlfn.XLOOKUP(tbl_cleaning[[#This Row],[Scheme/Estate]],[1]!tbl_survey[Scheme Name],[1]!tbl_survey[Internal],"Not rated"),"Not rated")</f>
        <v>#VALUE!</v>
      </c>
      <c r="D523" s="432" t="s">
        <v>1381</v>
      </c>
      <c r="E523" s="154" t="s">
        <v>87</v>
      </c>
    </row>
    <row r="524" spans="1:5" ht="15" customHeight="1" x14ac:dyDescent="0.25">
      <c r="A524" s="463" t="s">
        <v>781</v>
      </c>
      <c r="B524" s="403" t="str">
        <f>_xlfn.XLOOKUP(tbl_cleaning[[#This Row],[Scheme/Estate]],[1]!tbl_survey[Scheme Name],[1]!tbl_survey[Internal],"Not rated")</f>
        <v>Not rated</v>
      </c>
      <c r="C524" s="403" t="e">
        <f t="array" ref="C524">IF(DATEVALUE([1]!tbl_survey[Date of inspection])&gt;DATEVALUE(B520),_xlfn.XLOOKUP(tbl_cleaning[[#This Row],[Scheme/Estate]],[1]!tbl_survey[Scheme Name],[1]!tbl_survey[Internal],"Not rated"),"Not rated")</f>
        <v>#VALUE!</v>
      </c>
      <c r="D524" s="432" t="s">
        <v>1379</v>
      </c>
      <c r="E524" s="154" t="s">
        <v>58</v>
      </c>
    </row>
    <row r="525" spans="1:5" ht="15" customHeight="1" x14ac:dyDescent="0.25">
      <c r="A525" s="391" t="s">
        <v>783</v>
      </c>
      <c r="B525" s="403">
        <f>_xlfn.XLOOKUP(tbl_cleaning[[#This Row],[Scheme/Estate]],[1]!tbl_survey[Scheme Name],[1]!tbl_survey[Internal],"Not rated")</f>
        <v>3</v>
      </c>
      <c r="C525" s="403" t="e">
        <f t="array" ref="C525">IF(DATEVALUE([1]!tbl_survey[Date of inspection])&gt;DATEVALUE(B521),_xlfn.XLOOKUP(tbl_cleaning[[#This Row],[Scheme/Estate]],[1]!tbl_survey[Scheme Name],[1]!tbl_survey[Internal],"Not rated"),"Not rated")</f>
        <v>#VALUE!</v>
      </c>
      <c r="D525" s="432" t="s">
        <v>1371</v>
      </c>
      <c r="E525" s="449" t="s">
        <v>58</v>
      </c>
    </row>
    <row r="526" spans="1:5" ht="15" customHeight="1" x14ac:dyDescent="0.25">
      <c r="A526" s="464" t="s">
        <v>784</v>
      </c>
      <c r="B526" s="403" t="str">
        <f>_xlfn.XLOOKUP(tbl_cleaning[[#This Row],[Scheme/Estate]],[1]!tbl_survey[Scheme Name],[1]!tbl_survey[Internal],"Not rated")</f>
        <v>Not rated</v>
      </c>
      <c r="C526" s="403" t="e">
        <f t="array" ref="C526">IF(DATEVALUE([1]!tbl_survey[Date of inspection])&gt;DATEVALUE(B522),_xlfn.XLOOKUP(tbl_cleaning[[#This Row],[Scheme/Estate]],[1]!tbl_survey[Scheme Name],[1]!tbl_survey[Internal],"Not rated"),"Not rated")</f>
        <v>#VALUE!</v>
      </c>
      <c r="D526" s="432" t="s">
        <v>1371</v>
      </c>
      <c r="E526" s="154" t="s">
        <v>58</v>
      </c>
    </row>
    <row r="527" spans="1:5" ht="15" customHeight="1" x14ac:dyDescent="0.25">
      <c r="A527" s="462" t="s">
        <v>787</v>
      </c>
      <c r="B527" s="403" t="str">
        <f>_xlfn.XLOOKUP(tbl_cleaning[[#This Row],[Scheme/Estate]],[1]!tbl_survey[Scheme Name],[1]!tbl_survey[Internal],"Not rated")</f>
        <v>Not rated</v>
      </c>
      <c r="C527" s="403" t="e">
        <f t="array" ref="C527">IF(DATEVALUE([1]!tbl_survey[Date of inspection])&gt;DATEVALUE(B523),_xlfn.XLOOKUP(tbl_cleaning[[#This Row],[Scheme/Estate]],[1]!tbl_survey[Scheme Name],[1]!tbl_survey[Internal],"Not rated"),"Not rated")</f>
        <v>#VALUE!</v>
      </c>
      <c r="D527" s="432" t="s">
        <v>1378</v>
      </c>
      <c r="E527" s="443" t="s">
        <v>87</v>
      </c>
    </row>
    <row r="528" spans="1:5" ht="15" customHeight="1" x14ac:dyDescent="0.25">
      <c r="A528" s="462" t="s">
        <v>1417</v>
      </c>
      <c r="B528" s="403" t="str">
        <f>_xlfn.XLOOKUP(tbl_cleaning[[#This Row],[Scheme/Estate]],[1]!tbl_survey[Scheme Name],[1]!tbl_survey[Internal],"Not rated")</f>
        <v>Not rated</v>
      </c>
      <c r="C528" s="403" t="e">
        <f t="array" ref="C528">IF(DATEVALUE([1]!tbl_survey[Date of inspection])&gt;DATEVALUE(B524),_xlfn.XLOOKUP(tbl_cleaning[[#This Row],[Scheme/Estate]],[1]!tbl_survey[Scheme Name],[1]!tbl_survey[Internal],"Not rated"),"Not rated")</f>
        <v>#VALUE!</v>
      </c>
      <c r="D528" s="432" t="s">
        <v>1378</v>
      </c>
      <c r="E528" s="443" t="s">
        <v>87</v>
      </c>
    </row>
    <row r="529" spans="1:5" ht="15" customHeight="1" x14ac:dyDescent="0.25">
      <c r="A529" s="462" t="s">
        <v>1418</v>
      </c>
      <c r="B529" s="403" t="str">
        <f>_xlfn.XLOOKUP(tbl_cleaning[[#This Row],[Scheme/Estate]],[1]!tbl_survey[Scheme Name],[1]!tbl_survey[Internal],"Not rated")</f>
        <v>Not rated</v>
      </c>
      <c r="C529" s="403" t="e">
        <f t="array" ref="C529">IF(DATEVALUE([1]!tbl_survey[Date of inspection])&gt;DATEVALUE(B525),_xlfn.XLOOKUP(tbl_cleaning[[#This Row],[Scheme/Estate]],[1]!tbl_survey[Scheme Name],[1]!tbl_survey[Internal],"Not rated"),"Not rated")</f>
        <v>#VALUE!</v>
      </c>
      <c r="D529" s="432" t="s">
        <v>1378</v>
      </c>
      <c r="E529" s="443" t="s">
        <v>87</v>
      </c>
    </row>
    <row r="530" spans="1:5" ht="15" customHeight="1" x14ac:dyDescent="0.25">
      <c r="A530" s="491" t="s">
        <v>1404</v>
      </c>
      <c r="B530" s="403" t="str">
        <f>_xlfn.XLOOKUP(tbl_cleaning[[#This Row],[Scheme/Estate]],[1]!tbl_survey[Scheme Name],[1]!tbl_survey[Internal],"Not rated")</f>
        <v>Not rated</v>
      </c>
      <c r="C530" s="403" t="e">
        <f t="array" ref="C530">IF(DATEVALUE([1]!tbl_survey[Date of inspection])&gt;DATEVALUE(B526),_xlfn.XLOOKUP(tbl_cleaning[[#This Row],[Scheme/Estate]],[1]!tbl_survey[Scheme Name],[1]!tbl_survey[Internal],"Not rated"),"Not rated")</f>
        <v>#VALUE!</v>
      </c>
      <c r="D530" s="432" t="s">
        <v>1385</v>
      </c>
      <c r="E530" s="449" t="s">
        <v>93</v>
      </c>
    </row>
    <row r="531" spans="1:5" ht="15" customHeight="1" x14ac:dyDescent="0.25">
      <c r="A531" s="462" t="s">
        <v>1347</v>
      </c>
      <c r="B531" s="403" t="str">
        <f>_xlfn.XLOOKUP(tbl_cleaning[[#This Row],[Scheme/Estate]],[1]!tbl_survey[Scheme Name],[1]!tbl_survey[Internal],"Not rated")</f>
        <v>Not rated</v>
      </c>
      <c r="C531" s="403" t="e">
        <f t="array" ref="C531">IF(DATEVALUE([1]!tbl_survey[Date of inspection])&gt;DATEVALUE(B527),_xlfn.XLOOKUP(tbl_cleaning[[#This Row],[Scheme/Estate]],[1]!tbl_survey[Scheme Name],[1]!tbl_survey[Internal],"Not rated"),"Not rated")</f>
        <v>#VALUE!</v>
      </c>
      <c r="D531" s="432" t="s">
        <v>1365</v>
      </c>
      <c r="E531" s="443" t="s">
        <v>87</v>
      </c>
    </row>
    <row r="532" spans="1:5" ht="15" customHeight="1" x14ac:dyDescent="0.25">
      <c r="A532" s="462" t="s">
        <v>792</v>
      </c>
      <c r="B532" s="403" t="str">
        <f>_xlfn.XLOOKUP(tbl_cleaning[[#This Row],[Scheme/Estate]],[1]!tbl_survey[Scheme Name],[1]!tbl_survey[Internal],"Not rated")</f>
        <v>Not rated</v>
      </c>
      <c r="C532" s="403" t="e">
        <f t="array" ref="C532">IF(DATEVALUE([1]!tbl_survey[Date of inspection])&gt;DATEVALUE(B528),_xlfn.XLOOKUP(tbl_cleaning[[#This Row],[Scheme/Estate]],[1]!tbl_survey[Scheme Name],[1]!tbl_survey[Internal],"Not rated"),"Not rated")</f>
        <v>#VALUE!</v>
      </c>
      <c r="D532" s="432" t="s">
        <v>1378</v>
      </c>
      <c r="E532" s="443" t="s">
        <v>87</v>
      </c>
    </row>
    <row r="533" spans="1:5" ht="15" customHeight="1" x14ac:dyDescent="0.25">
      <c r="A533" s="462" t="s">
        <v>793</v>
      </c>
      <c r="B533" s="403" t="str">
        <f>_xlfn.XLOOKUP(tbl_cleaning[[#This Row],[Scheme/Estate]],[1]!tbl_survey[Scheme Name],[1]!tbl_survey[Internal],"Not rated")</f>
        <v>Not rated</v>
      </c>
      <c r="C533" s="403" t="e">
        <f t="array" ref="C533">IF(DATEVALUE([1]!tbl_survey[Date of inspection])&gt;DATEVALUE(B529),_xlfn.XLOOKUP(tbl_cleaning[[#This Row],[Scheme/Estate]],[1]!tbl_survey[Scheme Name],[1]!tbl_survey[Internal],"Not rated"),"Not rated")</f>
        <v>#VALUE!</v>
      </c>
      <c r="D533" s="432" t="s">
        <v>1378</v>
      </c>
      <c r="E533" s="451" t="s">
        <v>87</v>
      </c>
    </row>
    <row r="534" spans="1:5" ht="15" customHeight="1" x14ac:dyDescent="0.25">
      <c r="A534" s="467" t="s">
        <v>795</v>
      </c>
      <c r="B534" s="403" t="str">
        <f>_xlfn.XLOOKUP(tbl_cleaning[[#This Row],[Scheme/Estate]],[1]!tbl_survey[Scheme Name],[1]!tbl_survey[Internal],"Not rated")</f>
        <v>Not rated</v>
      </c>
      <c r="C534" s="403" t="e">
        <f t="array" ref="C534">IF(DATEVALUE([1]!tbl_survey[Date of inspection])&gt;DATEVALUE(B530),_xlfn.XLOOKUP(tbl_cleaning[[#This Row],[Scheme/Estate]],[1]!tbl_survey[Scheme Name],[1]!tbl_survey[Internal],"Not rated"),"Not rated")</f>
        <v>#VALUE!</v>
      </c>
      <c r="D534" s="432" t="s">
        <v>1378</v>
      </c>
      <c r="E534" s="443" t="s">
        <v>87</v>
      </c>
    </row>
    <row r="535" spans="1:5" ht="15" customHeight="1" x14ac:dyDescent="0.25">
      <c r="A535" s="462" t="s">
        <v>796</v>
      </c>
      <c r="B535" s="403" t="str">
        <f>_xlfn.XLOOKUP(tbl_cleaning[[#This Row],[Scheme/Estate]],[1]!tbl_survey[Scheme Name],[1]!tbl_survey[Internal],"Not rated")</f>
        <v>Not rated</v>
      </c>
      <c r="C535" s="403" t="e">
        <f t="array" ref="C535">IF(DATEVALUE([1]!tbl_survey[Date of inspection])&gt;DATEVALUE(B531),_xlfn.XLOOKUP(tbl_cleaning[[#This Row],[Scheme/Estate]],[1]!tbl_survey[Scheme Name],[1]!tbl_survey[Internal],"Not rated"),"Not rated")</f>
        <v>#VALUE!</v>
      </c>
      <c r="D535" s="432" t="s">
        <v>1368</v>
      </c>
      <c r="E535" s="449" t="s">
        <v>60</v>
      </c>
    </row>
    <row r="536" spans="1:5" ht="15" customHeight="1" x14ac:dyDescent="0.25">
      <c r="A536" s="463" t="s">
        <v>799</v>
      </c>
      <c r="B536" s="403" t="str">
        <f>_xlfn.XLOOKUP(tbl_cleaning[[#This Row],[Scheme/Estate]],[1]!tbl_survey[Scheme Name],[1]!tbl_survey[Internal],"Not rated")</f>
        <v>Not rated</v>
      </c>
      <c r="C536" s="403" t="e">
        <f t="array" ref="C536">IF(DATEVALUE([1]!tbl_survey[Date of inspection])&gt;DATEVALUE(B532),_xlfn.XLOOKUP(tbl_cleaning[[#This Row],[Scheme/Estate]],[1]!tbl_survey[Scheme Name],[1]!tbl_survey[Internal],"Not rated"),"Not rated")</f>
        <v>#VALUE!</v>
      </c>
      <c r="D536" s="432" t="s">
        <v>1363</v>
      </c>
      <c r="E536" s="154" t="s">
        <v>58</v>
      </c>
    </row>
    <row r="537" spans="1:5" ht="15" customHeight="1" x14ac:dyDescent="0.25">
      <c r="A537" s="463" t="s">
        <v>800</v>
      </c>
      <c r="B537" s="403" t="str">
        <f>_xlfn.XLOOKUP(tbl_cleaning[[#This Row],[Scheme/Estate]],[1]!tbl_survey[Scheme Name],[1]!tbl_survey[Internal],"Not rated")</f>
        <v>Not rated</v>
      </c>
      <c r="C537" s="403" t="e">
        <f t="array" ref="C537">IF(DATEVALUE([1]!tbl_survey[Date of inspection])&gt;DATEVALUE(B533),_xlfn.XLOOKUP(tbl_cleaning[[#This Row],[Scheme/Estate]],[1]!tbl_survey[Scheme Name],[1]!tbl_survey[Internal],"Not rated"),"Not rated")</f>
        <v>#VALUE!</v>
      </c>
      <c r="D537" s="432" t="s">
        <v>1363</v>
      </c>
      <c r="E537" s="449" t="s">
        <v>58</v>
      </c>
    </row>
    <row r="538" spans="1:5" ht="15" customHeight="1" x14ac:dyDescent="0.25">
      <c r="A538" s="462" t="s">
        <v>801</v>
      </c>
      <c r="B538" s="403" t="str">
        <f>_xlfn.XLOOKUP(tbl_cleaning[[#This Row],[Scheme/Estate]],[1]!tbl_survey[Scheme Name],[1]!tbl_survey[Internal],"Not rated")</f>
        <v>Not rated</v>
      </c>
      <c r="C538" s="403" t="e">
        <f t="array" ref="C538">IF(DATEVALUE([1]!tbl_survey[Date of inspection])&gt;DATEVALUE(B534),_xlfn.XLOOKUP(tbl_cleaning[[#This Row],[Scheme/Estate]],[1]!tbl_survey[Scheme Name],[1]!tbl_survey[Internal],"Not rated"),"Not rated")</f>
        <v>#VALUE!</v>
      </c>
      <c r="D538" s="432" t="s">
        <v>1385</v>
      </c>
      <c r="E538" s="452" t="s">
        <v>93</v>
      </c>
    </row>
    <row r="539" spans="1:5" ht="15" customHeight="1" x14ac:dyDescent="0.25">
      <c r="A539" s="472" t="s">
        <v>1354</v>
      </c>
      <c r="B539" s="403">
        <f>_xlfn.XLOOKUP(tbl_cleaning[[#This Row],[Scheme/Estate]],[1]!tbl_survey[Scheme Name],[1]!tbl_survey[Internal],"Not rated")</f>
        <v>3</v>
      </c>
      <c r="C539" s="403" t="e">
        <f t="array" ref="C539">IF(DATEVALUE([1]!tbl_survey[Date of inspection])&gt;DATEVALUE(B535),_xlfn.XLOOKUP(tbl_cleaning[[#This Row],[Scheme/Estate]],[1]!tbl_survey[Scheme Name],[1]!tbl_survey[Internal],"Not rated"),"Not rated")</f>
        <v>#VALUE!</v>
      </c>
      <c r="D539" s="432" t="s">
        <v>1368</v>
      </c>
      <c r="E539" s="154" t="s">
        <v>60</v>
      </c>
    </row>
    <row r="540" spans="1:5" ht="15" customHeight="1" x14ac:dyDescent="0.25">
      <c r="A540" s="462" t="s">
        <v>1433</v>
      </c>
      <c r="B540" s="403" t="str">
        <f>_xlfn.XLOOKUP(tbl_cleaning[[#This Row],[Scheme/Estate]],[1]!tbl_survey[Scheme Name],[1]!tbl_survey[Internal],"Not rated")</f>
        <v>Not rated</v>
      </c>
      <c r="C540" s="403" t="e">
        <f t="array" ref="C540">IF(DATEVALUE([1]!tbl_survey[Date of inspection])&gt;DATEVALUE(B536),_xlfn.XLOOKUP(tbl_cleaning[[#This Row],[Scheme/Estate]],[1]!tbl_survey[Scheme Name],[1]!tbl_survey[Internal],"Not rated"),"Not rated")</f>
        <v>#VALUE!</v>
      </c>
      <c r="D540" s="432" t="s">
        <v>1385</v>
      </c>
      <c r="E540" s="453" t="s">
        <v>93</v>
      </c>
    </row>
    <row r="541" spans="1:5" ht="15" customHeight="1" x14ac:dyDescent="0.25">
      <c r="A541" s="462" t="s">
        <v>802</v>
      </c>
      <c r="B541" s="403" t="str">
        <f>_xlfn.XLOOKUP(tbl_cleaning[[#This Row],[Scheme/Estate]],[1]!tbl_survey[Scheme Name],[1]!tbl_survey[Internal],"Not rated")</f>
        <v>Not rated</v>
      </c>
      <c r="C541" s="403" t="e">
        <f t="array" ref="C541">IF(DATEVALUE([1]!tbl_survey[Date of inspection])&gt;DATEVALUE(B537),_xlfn.XLOOKUP(tbl_cleaning[[#This Row],[Scheme/Estate]],[1]!tbl_survey[Scheme Name],[1]!tbl_survey[Internal],"Not rated"),"Not rated")</f>
        <v>#VALUE!</v>
      </c>
      <c r="D541" s="432" t="s">
        <v>1364</v>
      </c>
      <c r="E541" s="446" t="s">
        <v>60</v>
      </c>
    </row>
    <row r="542" spans="1:5" ht="15" customHeight="1" x14ac:dyDescent="0.25">
      <c r="A542" s="462" t="s">
        <v>803</v>
      </c>
      <c r="B542" s="403" t="str">
        <f>_xlfn.XLOOKUP(tbl_cleaning[[#This Row],[Scheme/Estate]],[1]!tbl_survey[Scheme Name],[1]!tbl_survey[Internal],"Not rated")</f>
        <v>Not rated</v>
      </c>
      <c r="C542" s="403" t="e">
        <f t="array" ref="C542">IF(DATEVALUE([1]!tbl_survey[Date of inspection])&gt;DATEVALUE(B538),_xlfn.XLOOKUP(tbl_cleaning[[#This Row],[Scheme/Estate]],[1]!tbl_survey[Scheme Name],[1]!tbl_survey[Internal],"Not rated"),"Not rated")</f>
        <v>#VALUE!</v>
      </c>
      <c r="D542" s="432" t="s">
        <v>1378</v>
      </c>
      <c r="E542" s="443" t="s">
        <v>87</v>
      </c>
    </row>
    <row r="543" spans="1:5" ht="15" customHeight="1" x14ac:dyDescent="0.25">
      <c r="A543" s="467" t="s">
        <v>1348</v>
      </c>
      <c r="B543" s="403" t="str">
        <f>_xlfn.XLOOKUP(tbl_cleaning[[#This Row],[Scheme/Estate]],[1]!tbl_survey[Scheme Name],[1]!tbl_survey[Internal],"Not rated")</f>
        <v>Not rated</v>
      </c>
      <c r="C543" s="403" t="e">
        <f t="array" ref="C543">IF(DATEVALUE([1]!tbl_survey[Date of inspection])&gt;DATEVALUE(B539),_xlfn.XLOOKUP(tbl_cleaning[[#This Row],[Scheme/Estate]],[1]!tbl_survey[Scheme Name],[1]!tbl_survey[Internal],"Not rated"),"Not rated")</f>
        <v>#VALUE!</v>
      </c>
      <c r="D543" s="432" t="s">
        <v>1381</v>
      </c>
      <c r="E543" s="450" t="s">
        <v>60</v>
      </c>
    </row>
    <row r="544" spans="1:5" ht="15" customHeight="1" x14ac:dyDescent="0.25">
      <c r="A544" s="462" t="s">
        <v>805</v>
      </c>
      <c r="B544" s="403">
        <f>_xlfn.XLOOKUP(tbl_cleaning[[#This Row],[Scheme/Estate]],[1]!tbl_survey[Scheme Name],[1]!tbl_survey[Internal],"Not rated")</f>
        <v>3</v>
      </c>
      <c r="C544" s="403" t="e">
        <f t="array" ref="C544">IF(DATEVALUE([1]!tbl_survey[Date of inspection])&gt;DATEVALUE(B540),_xlfn.XLOOKUP(tbl_cleaning[[#This Row],[Scheme/Estate]],[1]!tbl_survey[Scheme Name],[1]!tbl_survey[Internal],"Not rated"),"Not rated")</f>
        <v>#VALUE!</v>
      </c>
      <c r="D544" s="432" t="s">
        <v>1369</v>
      </c>
      <c r="E544" s="447" t="s">
        <v>58</v>
      </c>
    </row>
    <row r="545" spans="1:5" ht="15" customHeight="1" x14ac:dyDescent="0.25">
      <c r="A545" s="462" t="s">
        <v>806</v>
      </c>
      <c r="B545" s="403" t="str">
        <f>_xlfn.XLOOKUP(tbl_cleaning[[#This Row],[Scheme/Estate]],[1]!tbl_survey[Scheme Name],[1]!tbl_survey[Internal],"Not rated")</f>
        <v>Not rated</v>
      </c>
      <c r="C545" s="403" t="e">
        <f t="array" ref="C545">IF(DATEVALUE([1]!tbl_survey[Date of inspection])&gt;DATEVALUE(B541),_xlfn.XLOOKUP(tbl_cleaning[[#This Row],[Scheme/Estate]],[1]!tbl_survey[Scheme Name],[1]!tbl_survey[Internal],"Not rated"),"Not rated")</f>
        <v>#VALUE!</v>
      </c>
      <c r="D545" s="432" t="s">
        <v>1378</v>
      </c>
      <c r="E545" s="452" t="s">
        <v>87</v>
      </c>
    </row>
    <row r="546" spans="1:5" ht="15" customHeight="1" x14ac:dyDescent="0.25">
      <c r="A546" s="463" t="s">
        <v>808</v>
      </c>
      <c r="B546" s="403">
        <f>_xlfn.XLOOKUP(tbl_cleaning[[#This Row],[Scheme/Estate]],[1]!tbl_survey[Scheme Name],[1]!tbl_survey[Internal],"Not rated")</f>
        <v>3</v>
      </c>
      <c r="C546" s="403" t="e">
        <f t="array" ref="C546">IF(DATEVALUE([1]!tbl_survey[Date of inspection])&gt;DATEVALUE(B542),_xlfn.XLOOKUP(tbl_cleaning[[#This Row],[Scheme/Estate]],[1]!tbl_survey[Scheme Name],[1]!tbl_survey[Internal],"Not rated"),"Not rated")</f>
        <v>#VALUE!</v>
      </c>
      <c r="D546" s="432" t="s">
        <v>1363</v>
      </c>
      <c r="E546" s="443" t="s">
        <v>58</v>
      </c>
    </row>
    <row r="547" spans="1:5" ht="15" customHeight="1" x14ac:dyDescent="0.25">
      <c r="A547" s="464" t="s">
        <v>810</v>
      </c>
      <c r="B547" s="403">
        <f>_xlfn.XLOOKUP(tbl_cleaning[[#This Row],[Scheme/Estate]],[1]!tbl_survey[Scheme Name],[1]!tbl_survey[Internal],"Not rated")</f>
        <v>3</v>
      </c>
      <c r="C547" s="403" t="e">
        <f t="array" ref="C547">IF(DATEVALUE([1]!tbl_survey[Date of inspection])&gt;DATEVALUE(B543),_xlfn.XLOOKUP(tbl_cleaning[[#This Row],[Scheme/Estate]],[1]!tbl_survey[Scheme Name],[1]!tbl_survey[Internal],"Not rated"),"Not rated")</f>
        <v>#VALUE!</v>
      </c>
      <c r="D547" s="432" t="s">
        <v>1363</v>
      </c>
      <c r="E547" s="443" t="s">
        <v>409</v>
      </c>
    </row>
    <row r="548" spans="1:5" ht="15" customHeight="1" x14ac:dyDescent="0.25">
      <c r="A548" s="462" t="s">
        <v>1419</v>
      </c>
      <c r="B548" s="403" t="str">
        <f>_xlfn.XLOOKUP(tbl_cleaning[[#This Row],[Scheme/Estate]],[1]!tbl_survey[Scheme Name],[1]!tbl_survey[Internal],"Not rated")</f>
        <v>Not rated</v>
      </c>
      <c r="C548" s="403" t="e">
        <f t="array" ref="C548">IF(DATEVALUE([1]!tbl_survey[Date of inspection])&gt;DATEVALUE(B544),_xlfn.XLOOKUP(tbl_cleaning[[#This Row],[Scheme/Estate]],[1]!tbl_survey[Scheme Name],[1]!tbl_survey[Internal],"Not rated"),"Not rated")</f>
        <v>#VALUE!</v>
      </c>
      <c r="D548" s="432" t="s">
        <v>1375</v>
      </c>
      <c r="E548" s="154" t="s">
        <v>60</v>
      </c>
    </row>
    <row r="549" spans="1:5" ht="15" customHeight="1" x14ac:dyDescent="0.25">
      <c r="A549" s="462" t="s">
        <v>1349</v>
      </c>
      <c r="B549" s="403" t="str">
        <f>_xlfn.XLOOKUP(tbl_cleaning[[#This Row],[Scheme/Estate]],[1]!tbl_survey[Scheme Name],[1]!tbl_survey[Internal],"Not rated")</f>
        <v>Not rated</v>
      </c>
      <c r="C549" s="403" t="e">
        <f t="array" ref="C549">IF(DATEVALUE([1]!tbl_survey[Date of inspection])&gt;DATEVALUE(B545),_xlfn.XLOOKUP(tbl_cleaning[[#This Row],[Scheme/Estate]],[1]!tbl_survey[Scheme Name],[1]!tbl_survey[Internal],"Not rated"),"Not rated")</f>
        <v>#VALUE!</v>
      </c>
      <c r="D549" s="432" t="s">
        <v>1366</v>
      </c>
      <c r="E549" s="443" t="s">
        <v>87</v>
      </c>
    </row>
    <row r="550" spans="1:5" ht="15" customHeight="1" x14ac:dyDescent="0.25">
      <c r="A550" s="462" t="s">
        <v>813</v>
      </c>
      <c r="B550" s="403" t="str">
        <f>_xlfn.XLOOKUP(tbl_cleaning[[#This Row],[Scheme/Estate]],[1]!tbl_survey[Scheme Name],[1]!tbl_survey[Internal],"Not rated")</f>
        <v>Not rated</v>
      </c>
      <c r="C550" s="403" t="e">
        <f t="array" ref="C550">IF(DATEVALUE([1]!tbl_survey[Date of inspection])&gt;DATEVALUE(B546),_xlfn.XLOOKUP(tbl_cleaning[[#This Row],[Scheme/Estate]],[1]!tbl_survey[Scheme Name],[1]!tbl_survey[Internal],"Not rated"),"Not rated")</f>
        <v>#VALUE!</v>
      </c>
      <c r="D550" s="432" t="s">
        <v>1373</v>
      </c>
      <c r="E550" s="449" t="s">
        <v>58</v>
      </c>
    </row>
    <row r="551" spans="1:5" ht="15" customHeight="1" x14ac:dyDescent="0.25">
      <c r="A551" s="462" t="s">
        <v>814</v>
      </c>
      <c r="B551" s="403" t="str">
        <f>_xlfn.XLOOKUP(tbl_cleaning[[#This Row],[Scheme/Estate]],[1]!tbl_survey[Scheme Name],[1]!tbl_survey[Internal],"Not rated")</f>
        <v>Not rated</v>
      </c>
      <c r="C551" s="403" t="e">
        <f t="array" ref="C551">IF(DATEVALUE([1]!tbl_survey[Date of inspection])&gt;DATEVALUE(B547),_xlfn.XLOOKUP(tbl_cleaning[[#This Row],[Scheme/Estate]],[1]!tbl_survey[Scheme Name],[1]!tbl_survey[Internal],"Not rated"),"Not rated")</f>
        <v>#VALUE!</v>
      </c>
      <c r="D551" s="432" t="s">
        <v>1364</v>
      </c>
      <c r="E551" s="154" t="s">
        <v>60</v>
      </c>
    </row>
    <row r="552" spans="1:5" ht="15" customHeight="1" x14ac:dyDescent="0.25">
      <c r="A552" s="462" t="s">
        <v>815</v>
      </c>
      <c r="B552" s="403" t="str">
        <f>_xlfn.XLOOKUP(tbl_cleaning[[#This Row],[Scheme/Estate]],[1]!tbl_survey[Scheme Name],[1]!tbl_survey[Internal],"Not rated")</f>
        <v>Not rated</v>
      </c>
      <c r="C552" s="403" t="e">
        <f t="array" ref="C552">IF(DATEVALUE([1]!tbl_survey[Date of inspection])&gt;DATEVALUE(B548),_xlfn.XLOOKUP(tbl_cleaning[[#This Row],[Scheme/Estate]],[1]!tbl_survey[Scheme Name],[1]!tbl_survey[Internal],"Not rated"),"Not rated")</f>
        <v>#VALUE!</v>
      </c>
      <c r="D552" s="432" t="s">
        <v>1381</v>
      </c>
      <c r="E552" s="154" t="s">
        <v>60</v>
      </c>
    </row>
    <row r="553" spans="1:5" ht="15" customHeight="1" x14ac:dyDescent="0.25">
      <c r="A553" s="463" t="s">
        <v>816</v>
      </c>
      <c r="B553" s="403" t="str">
        <f>_xlfn.XLOOKUP(tbl_cleaning[[#This Row],[Scheme/Estate]],[1]!tbl_survey[Scheme Name],[1]!tbl_survey[Internal],"Not rated")</f>
        <v>Not rated</v>
      </c>
      <c r="C553" s="403" t="e">
        <f t="array" ref="C553">IF(DATEVALUE([1]!tbl_survey[Date of inspection])&gt;DATEVALUE(B549),_xlfn.XLOOKUP(tbl_cleaning[[#This Row],[Scheme/Estate]],[1]!tbl_survey[Scheme Name],[1]!tbl_survey[Internal],"Not rated"),"Not rated")</f>
        <v>#VALUE!</v>
      </c>
      <c r="D553" s="432" t="s">
        <v>1386</v>
      </c>
      <c r="E553" s="154" t="s">
        <v>93</v>
      </c>
    </row>
    <row r="554" spans="1:5" ht="15" customHeight="1" x14ac:dyDescent="0.25">
      <c r="A554" s="462" t="s">
        <v>817</v>
      </c>
      <c r="B554" s="403" t="str">
        <f>_xlfn.XLOOKUP(tbl_cleaning[[#This Row],[Scheme/Estate]],[1]!tbl_survey[Scheme Name],[1]!tbl_survey[Internal],"Not rated")</f>
        <v>Not rated</v>
      </c>
      <c r="C554" s="403" t="e">
        <f t="array" ref="C554">IF(DATEVALUE([1]!tbl_survey[Date of inspection])&gt;DATEVALUE(B550),_xlfn.XLOOKUP(tbl_cleaning[[#This Row],[Scheme/Estate]],[1]!tbl_survey[Scheme Name],[1]!tbl_survey[Internal],"Not rated"),"Not rated")</f>
        <v>#VALUE!</v>
      </c>
      <c r="D554" s="432" t="s">
        <v>1383</v>
      </c>
      <c r="E554" s="453" t="s">
        <v>87</v>
      </c>
    </row>
    <row r="555" spans="1:5" ht="15" customHeight="1" x14ac:dyDescent="0.25">
      <c r="A555" s="462" t="s">
        <v>818</v>
      </c>
      <c r="B555" s="403" t="str">
        <f>_xlfn.XLOOKUP(tbl_cleaning[[#This Row],[Scheme/Estate]],[1]!tbl_survey[Scheme Name],[1]!tbl_survey[Internal],"Not rated")</f>
        <v>Not rated</v>
      </c>
      <c r="C555" s="403" t="e">
        <f t="array" ref="C555">IF(DATEVALUE([1]!tbl_survey[Date of inspection])&gt;DATEVALUE(B551),_xlfn.XLOOKUP(tbl_cleaning[[#This Row],[Scheme/Estate]],[1]!tbl_survey[Scheme Name],[1]!tbl_survey[Internal],"Not rated"),"Not rated")</f>
        <v>#VALUE!</v>
      </c>
      <c r="D555" s="432" t="s">
        <v>1365</v>
      </c>
      <c r="E555" s="452" t="s">
        <v>87</v>
      </c>
    </row>
    <row r="556" spans="1:5" ht="15" customHeight="1" x14ac:dyDescent="0.25">
      <c r="A556" s="462" t="s">
        <v>819</v>
      </c>
      <c r="B556" s="403" t="str">
        <f>_xlfn.XLOOKUP(tbl_cleaning[[#This Row],[Scheme/Estate]],[1]!tbl_survey[Scheme Name],[1]!tbl_survey[Internal],"Not rated")</f>
        <v>Not rated</v>
      </c>
      <c r="C556" s="403" t="e">
        <f t="array" ref="C556">IF(DATEVALUE([1]!tbl_survey[Date of inspection])&gt;DATEVALUE(B552),_xlfn.XLOOKUP(tbl_cleaning[[#This Row],[Scheme/Estate]],[1]!tbl_survey[Scheme Name],[1]!tbl_survey[Internal],"Not rated"),"Not rated")</f>
        <v>#VALUE!</v>
      </c>
      <c r="D556" s="432" t="s">
        <v>1365</v>
      </c>
      <c r="E556" s="443" t="s">
        <v>87</v>
      </c>
    </row>
    <row r="557" spans="1:5" ht="15" customHeight="1" x14ac:dyDescent="0.25">
      <c r="A557" s="470" t="s">
        <v>820</v>
      </c>
      <c r="B557" s="403" t="str">
        <f>_xlfn.XLOOKUP(tbl_cleaning[[#This Row],[Scheme/Estate]],[1]!tbl_survey[Scheme Name],[1]!tbl_survey[Internal],"Not rated")</f>
        <v>Not rated</v>
      </c>
      <c r="C557" s="403" t="e">
        <f t="array" ref="C557">IF(DATEVALUE([1]!tbl_survey[Date of inspection])&gt;DATEVALUE(B553),_xlfn.XLOOKUP(tbl_cleaning[[#This Row],[Scheme/Estate]],[1]!tbl_survey[Scheme Name],[1]!tbl_survey[Internal],"Not rated"),"Not rated")</f>
        <v>#VALUE!</v>
      </c>
      <c r="D557" s="432" t="s">
        <v>1368</v>
      </c>
      <c r="E557" s="154" t="s">
        <v>60</v>
      </c>
    </row>
    <row r="558" spans="1:5" ht="15" customHeight="1" x14ac:dyDescent="0.25">
      <c r="A558" s="465" t="s">
        <v>822</v>
      </c>
      <c r="B558" s="403" t="str">
        <f>_xlfn.XLOOKUP(tbl_cleaning[[#This Row],[Scheme/Estate]],[1]!tbl_survey[Scheme Name],[1]!tbl_survey[Internal],"Not rated")</f>
        <v>Not rated</v>
      </c>
      <c r="C558" s="403" t="e">
        <f t="array" ref="C558">IF(DATEVALUE([1]!tbl_survey[Date of inspection])&gt;DATEVALUE(B554),_xlfn.XLOOKUP(tbl_cleaning[[#This Row],[Scheme/Estate]],[1]!tbl_survey[Scheme Name],[1]!tbl_survey[Internal],"Not rated"),"Not rated")</f>
        <v>#VALUE!</v>
      </c>
      <c r="D558" s="432" t="s">
        <v>1378</v>
      </c>
      <c r="E558" s="443" t="s">
        <v>87</v>
      </c>
    </row>
    <row r="559" spans="1:5" ht="15" customHeight="1" x14ac:dyDescent="0.25">
      <c r="A559" s="467" t="s">
        <v>823</v>
      </c>
      <c r="B559" s="403" t="str">
        <f>_xlfn.XLOOKUP(tbl_cleaning[[#This Row],[Scheme/Estate]],[1]!tbl_survey[Scheme Name],[1]!tbl_survey[Internal],"Not rated")</f>
        <v>Not rated</v>
      </c>
      <c r="C559" s="403" t="e">
        <f t="array" ref="C559">IF(DATEVALUE([1]!tbl_survey[Date of inspection])&gt;DATEVALUE(B555),_xlfn.XLOOKUP(tbl_cleaning[[#This Row],[Scheme/Estate]],[1]!tbl_survey[Scheme Name],[1]!tbl_survey[Internal],"Not rated"),"Not rated")</f>
        <v>#VALUE!</v>
      </c>
      <c r="D559" s="432" t="s">
        <v>1376</v>
      </c>
      <c r="E559" s="154" t="s">
        <v>60</v>
      </c>
    </row>
    <row r="560" spans="1:5" ht="15" customHeight="1" x14ac:dyDescent="0.25">
      <c r="A560" s="462" t="s">
        <v>825</v>
      </c>
      <c r="B560" s="403" t="str">
        <f>_xlfn.XLOOKUP(tbl_cleaning[[#This Row],[Scheme/Estate]],[1]!tbl_survey[Scheme Name],[1]!tbl_survey[Internal],"Not rated")</f>
        <v>Not rated</v>
      </c>
      <c r="C560" s="403" t="e">
        <f t="array" ref="C560">IF(DATEVALUE([1]!tbl_survey[Date of inspection])&gt;DATEVALUE(B556),_xlfn.XLOOKUP(tbl_cleaning[[#This Row],[Scheme/Estate]],[1]!tbl_survey[Scheme Name],[1]!tbl_survey[Internal],"Not rated"),"Not rated")</f>
        <v>#VALUE!</v>
      </c>
      <c r="D560" s="432" t="s">
        <v>1378</v>
      </c>
      <c r="E560" s="443" t="s">
        <v>87</v>
      </c>
    </row>
    <row r="561" spans="1:5" ht="15" customHeight="1" x14ac:dyDescent="0.25">
      <c r="A561" s="463" t="s">
        <v>828</v>
      </c>
      <c r="B561" s="403" t="str">
        <f>_xlfn.XLOOKUP(tbl_cleaning[[#This Row],[Scheme/Estate]],[1]!tbl_survey[Scheme Name],[1]!tbl_survey[Internal],"Not rated")</f>
        <v>Not rated</v>
      </c>
      <c r="C561" s="403" t="e">
        <f t="array" ref="C561">IF(DATEVALUE([1]!tbl_survey[Date of inspection])&gt;DATEVALUE(B557),_xlfn.XLOOKUP(tbl_cleaning[[#This Row],[Scheme/Estate]],[1]!tbl_survey[Scheme Name],[1]!tbl_survey[Internal],"Not rated"),"Not rated")</f>
        <v>#VALUE!</v>
      </c>
      <c r="D561" s="432" t="s">
        <v>1363</v>
      </c>
      <c r="E561" s="154" t="s">
        <v>58</v>
      </c>
    </row>
    <row r="562" spans="1:5" ht="15" customHeight="1" x14ac:dyDescent="0.25">
      <c r="A562" s="391" t="s">
        <v>829</v>
      </c>
      <c r="B562" s="403" t="str">
        <f>_xlfn.XLOOKUP(tbl_cleaning[[#This Row],[Scheme/Estate]],[1]!tbl_survey[Scheme Name],[1]!tbl_survey[Internal],"Not rated")</f>
        <v>Not rated</v>
      </c>
      <c r="C562" s="403" t="e">
        <f t="array" ref="C562">IF(DATEVALUE([1]!tbl_survey[Date of inspection])&gt;DATEVALUE(B558),_xlfn.XLOOKUP(tbl_cleaning[[#This Row],[Scheme/Estate]],[1]!tbl_survey[Scheme Name],[1]!tbl_survey[Internal],"Not rated"),"Not rated")</f>
        <v>#VALUE!</v>
      </c>
      <c r="D562" s="432" t="s">
        <v>1376</v>
      </c>
      <c r="E562" s="154" t="s">
        <v>58</v>
      </c>
    </row>
    <row r="563" spans="1:5" ht="15" customHeight="1" x14ac:dyDescent="0.25">
      <c r="A563" s="462" t="s">
        <v>830</v>
      </c>
      <c r="B563" s="403" t="str">
        <f>_xlfn.XLOOKUP(tbl_cleaning[[#This Row],[Scheme/Estate]],[1]!tbl_survey[Scheme Name],[1]!tbl_survey[Internal],"Not rated")</f>
        <v>Not rated</v>
      </c>
      <c r="C563" s="403" t="e">
        <f t="array" ref="C563">IF(DATEVALUE([1]!tbl_survey[Date of inspection])&gt;DATEVALUE(B559),_xlfn.XLOOKUP(tbl_cleaning[[#This Row],[Scheme/Estate]],[1]!tbl_survey[Scheme Name],[1]!tbl_survey[Internal],"Not rated"),"Not rated")</f>
        <v>#VALUE!</v>
      </c>
      <c r="D563" s="432" t="s">
        <v>1368</v>
      </c>
      <c r="E563" s="154" t="s">
        <v>60</v>
      </c>
    </row>
    <row r="564" spans="1:5" ht="15" customHeight="1" x14ac:dyDescent="0.25">
      <c r="A564" s="492" t="s">
        <v>1405</v>
      </c>
      <c r="B564" s="403" t="str">
        <f>_xlfn.XLOOKUP(tbl_cleaning[[#This Row],[Scheme/Estate]],[1]!tbl_survey[Scheme Name],[1]!tbl_survey[Internal],"Not rated")</f>
        <v>Not rated</v>
      </c>
      <c r="C564" s="403" t="e">
        <f t="array" ref="C564">IF(DATEVALUE([1]!tbl_survey[Date of inspection])&gt;DATEVALUE(B560),_xlfn.XLOOKUP(tbl_cleaning[[#This Row],[Scheme/Estate]],[1]!tbl_survey[Scheme Name],[1]!tbl_survey[Internal],"Not rated"),"Not rated")</f>
        <v>#VALUE!</v>
      </c>
      <c r="D564" s="436" t="s">
        <v>1370</v>
      </c>
      <c r="E564" s="154" t="s">
        <v>93</v>
      </c>
    </row>
    <row r="565" spans="1:5" ht="15" customHeight="1" x14ac:dyDescent="0.25">
      <c r="A565" s="463" t="s">
        <v>832</v>
      </c>
      <c r="B565" s="403" t="str">
        <f>_xlfn.XLOOKUP(tbl_cleaning[[#This Row],[Scheme/Estate]],[1]!tbl_survey[Scheme Name],[1]!tbl_survey[Internal],"Not rated")</f>
        <v>Not rated</v>
      </c>
      <c r="C565" s="403" t="e">
        <f t="array" ref="C565">IF(DATEVALUE([1]!tbl_survey[Date of inspection])&gt;DATEVALUE(B561),_xlfn.XLOOKUP(tbl_cleaning[[#This Row],[Scheme/Estate]],[1]!tbl_survey[Scheme Name],[1]!tbl_survey[Internal],"Not rated"),"Not rated")</f>
        <v>#VALUE!</v>
      </c>
      <c r="D565" s="432" t="s">
        <v>1371</v>
      </c>
      <c r="E565" s="154" t="s">
        <v>58</v>
      </c>
    </row>
    <row r="566" spans="1:5" ht="15" customHeight="1" x14ac:dyDescent="0.25">
      <c r="A566" s="463" t="s">
        <v>833</v>
      </c>
      <c r="B566" s="403" t="str">
        <f>_xlfn.XLOOKUP(tbl_cleaning[[#This Row],[Scheme/Estate]],[1]!tbl_survey[Scheme Name],[1]!tbl_survey[Internal],"Not rated")</f>
        <v>Not rated</v>
      </c>
      <c r="C566" s="403" t="e">
        <f t="array" ref="C566">IF(DATEVALUE([1]!tbl_survey[Date of inspection])&gt;DATEVALUE(B562),_xlfn.XLOOKUP(tbl_cleaning[[#This Row],[Scheme/Estate]],[1]!tbl_survey[Scheme Name],[1]!tbl_survey[Internal],"Not rated"),"Not rated")</f>
        <v>#VALUE!</v>
      </c>
      <c r="D566" s="432" t="s">
        <v>1376</v>
      </c>
      <c r="E566" s="450" t="s">
        <v>60</v>
      </c>
    </row>
    <row r="567" spans="1:5" ht="15" customHeight="1" x14ac:dyDescent="0.25">
      <c r="A567" s="462" t="s">
        <v>834</v>
      </c>
      <c r="B567" s="403" t="str">
        <f>_xlfn.XLOOKUP(tbl_cleaning[[#This Row],[Scheme/Estate]],[1]!tbl_survey[Scheme Name],[1]!tbl_survey[Internal],"Not rated")</f>
        <v>Not rated</v>
      </c>
      <c r="C567" s="403" t="e">
        <f t="array" ref="C567">IF(DATEVALUE([1]!tbl_survey[Date of inspection])&gt;DATEVALUE(B563),_xlfn.XLOOKUP(tbl_cleaning[[#This Row],[Scheme/Estate]],[1]!tbl_survey[Scheme Name],[1]!tbl_survey[Internal],"Not rated"),"Not rated")</f>
        <v>#VALUE!</v>
      </c>
      <c r="D567" s="432" t="s">
        <v>1373</v>
      </c>
      <c r="E567" s="447" t="s">
        <v>58</v>
      </c>
    </row>
    <row r="568" spans="1:5" ht="15" customHeight="1" x14ac:dyDescent="0.25">
      <c r="A568" s="462" t="s">
        <v>835</v>
      </c>
      <c r="B568" s="403">
        <f>_xlfn.XLOOKUP(tbl_cleaning[[#This Row],[Scheme/Estate]],[1]!tbl_survey[Scheme Name],[1]!tbl_survey[Internal],"Not rated")</f>
        <v>3</v>
      </c>
      <c r="C568" s="403" t="e">
        <f t="array" ref="C568">IF(DATEVALUE([1]!tbl_survey[Date of inspection])&gt;DATEVALUE(B564),_xlfn.XLOOKUP(tbl_cleaning[[#This Row],[Scheme/Estate]],[1]!tbl_survey[Scheme Name],[1]!tbl_survey[Internal],"Not rated"),"Not rated")</f>
        <v>#VALUE!</v>
      </c>
      <c r="D568" s="432" t="s">
        <v>1369</v>
      </c>
      <c r="E568" s="447" t="s">
        <v>58</v>
      </c>
    </row>
    <row r="569" spans="1:5" ht="15" customHeight="1" x14ac:dyDescent="0.25">
      <c r="A569" s="462" t="s">
        <v>836</v>
      </c>
      <c r="B569" s="403">
        <f>_xlfn.XLOOKUP(tbl_cleaning[[#This Row],[Scheme/Estate]],[1]!tbl_survey[Scheme Name],[1]!tbl_survey[Internal],"Not rated")</f>
        <v>3</v>
      </c>
      <c r="C569" s="403" t="e">
        <f t="array" ref="C569">IF(DATEVALUE([1]!tbl_survey[Date of inspection])&gt;DATEVALUE(B565),_xlfn.XLOOKUP(tbl_cleaning[[#This Row],[Scheme/Estate]],[1]!tbl_survey[Scheme Name],[1]!tbl_survey[Internal],"Not rated"),"Not rated")</f>
        <v>#VALUE!</v>
      </c>
      <c r="D569" s="432" t="s">
        <v>1369</v>
      </c>
      <c r="E569" s="447" t="s">
        <v>58</v>
      </c>
    </row>
    <row r="570" spans="1:5" ht="15" customHeight="1" x14ac:dyDescent="0.25">
      <c r="A570" s="462" t="s">
        <v>839</v>
      </c>
      <c r="B570" s="403" t="str">
        <f>_xlfn.XLOOKUP(tbl_cleaning[[#This Row],[Scheme/Estate]],[1]!tbl_survey[Scheme Name],[1]!tbl_survey[Internal],"Not rated")</f>
        <v>Not rated</v>
      </c>
      <c r="C570" s="403" t="e">
        <f t="array" ref="C570">IF(DATEVALUE([1]!tbl_survey[Date of inspection])&gt;DATEVALUE(B566),_xlfn.XLOOKUP(tbl_cleaning[[#This Row],[Scheme/Estate]],[1]!tbl_survey[Scheme Name],[1]!tbl_survey[Internal],"Not rated"),"Not rated")</f>
        <v>#VALUE!</v>
      </c>
      <c r="D570" s="432" t="s">
        <v>1378</v>
      </c>
      <c r="E570" s="452" t="s">
        <v>87</v>
      </c>
    </row>
    <row r="571" spans="1:5" ht="15" customHeight="1" x14ac:dyDescent="0.25">
      <c r="A571" s="462" t="s">
        <v>840</v>
      </c>
      <c r="B571" s="403" t="str">
        <f>_xlfn.XLOOKUP(tbl_cleaning[[#This Row],[Scheme/Estate]],[1]!tbl_survey[Scheme Name],[1]!tbl_survey[Internal],"Not rated")</f>
        <v>Not rated</v>
      </c>
      <c r="C571" s="403" t="e">
        <f t="array" ref="C571">IF(DATEVALUE([1]!tbl_survey[Date of inspection])&gt;DATEVALUE(B567),_xlfn.XLOOKUP(tbl_cleaning[[#This Row],[Scheme/Estate]],[1]!tbl_survey[Scheme Name],[1]!tbl_survey[Internal],"Not rated"),"Not rated")</f>
        <v>#VALUE!</v>
      </c>
      <c r="D571" s="432" t="s">
        <v>1366</v>
      </c>
      <c r="E571" s="443" t="s">
        <v>87</v>
      </c>
    </row>
    <row r="572" spans="1:5" ht="15" customHeight="1" x14ac:dyDescent="0.25">
      <c r="A572" s="462" t="s">
        <v>1445</v>
      </c>
      <c r="B572" s="403" t="str">
        <f>_xlfn.XLOOKUP(tbl_cleaning[[#This Row],[Scheme/Estate]],[1]!tbl_survey[Scheme Name],[1]!tbl_survey[Internal],"Not rated")</f>
        <v>Not rated</v>
      </c>
      <c r="C572" s="403" t="e">
        <f t="array" ref="C572">IF(DATEVALUE([1]!tbl_survey[Date of inspection])&gt;DATEVALUE(B568),_xlfn.XLOOKUP(tbl_cleaning[[#This Row],[Scheme/Estate]],[1]!tbl_survey[Scheme Name],[1]!tbl_survey[Internal],"Not rated"),"Not rated")</f>
        <v>#VALUE!</v>
      </c>
      <c r="D572" s="432" t="s">
        <v>1378</v>
      </c>
      <c r="E572" s="443" t="s">
        <v>87</v>
      </c>
    </row>
    <row r="573" spans="1:5" ht="15" customHeight="1" x14ac:dyDescent="0.25">
      <c r="A573" s="467" t="s">
        <v>841</v>
      </c>
      <c r="B573" s="403" t="str">
        <f>_xlfn.XLOOKUP(tbl_cleaning[[#This Row],[Scheme/Estate]],[1]!tbl_survey[Scheme Name],[1]!tbl_survey[Internal],"Not rated")</f>
        <v>Not rated</v>
      </c>
      <c r="C573" s="403" t="e">
        <f t="array" ref="C573">IF(DATEVALUE([1]!tbl_survey[Date of inspection])&gt;DATEVALUE(B569),_xlfn.XLOOKUP(tbl_cleaning[[#This Row],[Scheme/Estate]],[1]!tbl_survey[Scheme Name],[1]!tbl_survey[Internal],"Not rated"),"Not rated")</f>
        <v>#VALUE!</v>
      </c>
      <c r="D573" s="432" t="s">
        <v>1378</v>
      </c>
      <c r="E573" s="443" t="s">
        <v>87</v>
      </c>
    </row>
    <row r="574" spans="1:5" ht="15" customHeight="1" x14ac:dyDescent="0.25">
      <c r="A574" s="463" t="s">
        <v>842</v>
      </c>
      <c r="B574" s="403" t="str">
        <f>_xlfn.XLOOKUP(tbl_cleaning[[#This Row],[Scheme/Estate]],[1]!tbl_survey[Scheme Name],[1]!tbl_survey[Internal],"Not rated")</f>
        <v>Not rated</v>
      </c>
      <c r="C574" s="403" t="e">
        <f t="array" ref="C574">IF(DATEVALUE([1]!tbl_survey[Date of inspection])&gt;DATEVALUE(B570),_xlfn.XLOOKUP(tbl_cleaning[[#This Row],[Scheme/Estate]],[1]!tbl_survey[Scheme Name],[1]!tbl_survey[Internal],"Not rated"),"Not rated")</f>
        <v>#VALUE!</v>
      </c>
      <c r="D574" s="432" t="s">
        <v>1370</v>
      </c>
      <c r="E574" s="154" t="s">
        <v>93</v>
      </c>
    </row>
    <row r="575" spans="1:5" ht="15" customHeight="1" x14ac:dyDescent="0.25">
      <c r="A575" s="462" t="s">
        <v>844</v>
      </c>
      <c r="B575" s="403" t="str">
        <f>_xlfn.XLOOKUP(tbl_cleaning[[#This Row],[Scheme/Estate]],[1]!tbl_survey[Scheme Name],[1]!tbl_survey[Internal],"Not rated")</f>
        <v>Not rated</v>
      </c>
      <c r="C575" s="403" t="e">
        <f t="array" ref="C575">IF(DATEVALUE([1]!tbl_survey[Date of inspection])&gt;DATEVALUE(B571),_xlfn.XLOOKUP(tbl_cleaning[[#This Row],[Scheme/Estate]],[1]!tbl_survey[Scheme Name],[1]!tbl_survey[Internal],"Not rated"),"Not rated")</f>
        <v>#VALUE!</v>
      </c>
      <c r="D575" s="432" t="s">
        <v>1383</v>
      </c>
      <c r="E575" s="443" t="s">
        <v>87</v>
      </c>
    </row>
    <row r="576" spans="1:5" ht="15" customHeight="1" x14ac:dyDescent="0.25">
      <c r="A576" s="462" t="s">
        <v>845</v>
      </c>
      <c r="B576" s="403" t="str">
        <f>_xlfn.XLOOKUP(tbl_cleaning[[#This Row],[Scheme/Estate]],[1]!tbl_survey[Scheme Name],[1]!tbl_survey[Internal],"Not rated")</f>
        <v>Not rated</v>
      </c>
      <c r="C576" s="403" t="e">
        <f t="array" ref="C576">IF(DATEVALUE([1]!tbl_survey[Date of inspection])&gt;DATEVALUE(B572),_xlfn.XLOOKUP(tbl_cleaning[[#This Row],[Scheme/Estate]],[1]!tbl_survey[Scheme Name],[1]!tbl_survey[Internal],"Not rated"),"Not rated")</f>
        <v>#VALUE!</v>
      </c>
      <c r="D576" s="432" t="s">
        <v>1368</v>
      </c>
      <c r="E576" s="154" t="s">
        <v>60</v>
      </c>
    </row>
    <row r="577" spans="1:5" ht="15" customHeight="1" x14ac:dyDescent="0.25">
      <c r="A577" s="462" t="s">
        <v>846</v>
      </c>
      <c r="B577" s="403" t="str">
        <f>_xlfn.XLOOKUP(tbl_cleaning[[#This Row],[Scheme/Estate]],[1]!tbl_survey[Scheme Name],[1]!tbl_survey[Internal],"Not rated")</f>
        <v>Not rated</v>
      </c>
      <c r="C577" s="403" t="e">
        <f t="array" ref="C577">IF(DATEVALUE([1]!tbl_survey[Date of inspection])&gt;DATEVALUE(B573),_xlfn.XLOOKUP(tbl_cleaning[[#This Row],[Scheme/Estate]],[1]!tbl_survey[Scheme Name],[1]!tbl_survey[Internal],"Not rated"),"Not rated")</f>
        <v>#VALUE!</v>
      </c>
      <c r="D577" s="432" t="s">
        <v>1372</v>
      </c>
      <c r="E577" s="450" t="s">
        <v>60</v>
      </c>
    </row>
    <row r="578" spans="1:5" ht="15" customHeight="1" x14ac:dyDescent="0.25">
      <c r="A578" s="463" t="s">
        <v>847</v>
      </c>
      <c r="B578" s="403">
        <f>_xlfn.XLOOKUP(tbl_cleaning[[#This Row],[Scheme/Estate]],[1]!tbl_survey[Scheme Name],[1]!tbl_survey[Internal],"Not rated")</f>
        <v>3</v>
      </c>
      <c r="C578" s="403" t="e">
        <f t="array" ref="C578">IF(DATEVALUE([1]!tbl_survey[Date of inspection])&gt;DATEVALUE(B574),_xlfn.XLOOKUP(tbl_cleaning[[#This Row],[Scheme/Estate]],[1]!tbl_survey[Scheme Name],[1]!tbl_survey[Internal],"Not rated"),"Not rated")</f>
        <v>#VALUE!</v>
      </c>
      <c r="D578" s="432" t="s">
        <v>1386</v>
      </c>
      <c r="E578" s="447" t="s">
        <v>93</v>
      </c>
    </row>
    <row r="579" spans="1:5" ht="15" customHeight="1" x14ac:dyDescent="0.25">
      <c r="A579" s="463" t="s">
        <v>848</v>
      </c>
      <c r="B579" s="403" t="str">
        <f>_xlfn.XLOOKUP(tbl_cleaning[[#This Row],[Scheme/Estate]],[1]!tbl_survey[Scheme Name],[1]!tbl_survey[Internal],"Not rated")</f>
        <v>Not rated</v>
      </c>
      <c r="C579" s="403" t="e">
        <f t="array" ref="C579">IF(DATEVALUE([1]!tbl_survey[Date of inspection])&gt;DATEVALUE(B575),_xlfn.XLOOKUP(tbl_cleaning[[#This Row],[Scheme/Estate]],[1]!tbl_survey[Scheme Name],[1]!tbl_survey[Internal],"Not rated"),"Not rated")</f>
        <v>#VALUE!</v>
      </c>
      <c r="D579" s="432" t="s">
        <v>1371</v>
      </c>
      <c r="E579" s="447" t="s">
        <v>58</v>
      </c>
    </row>
    <row r="580" spans="1:5" ht="15" customHeight="1" x14ac:dyDescent="0.25">
      <c r="A580" s="462" t="s">
        <v>1350</v>
      </c>
      <c r="B580" s="403" t="str">
        <f>_xlfn.XLOOKUP(tbl_cleaning[[#This Row],[Scheme/Estate]],[1]!tbl_survey[Scheme Name],[1]!tbl_survey[Internal],"Not rated")</f>
        <v>Not rated</v>
      </c>
      <c r="C580" s="403" t="e">
        <f t="array" ref="C580">IF(DATEVALUE([1]!tbl_survey[Date of inspection])&gt;DATEVALUE(B576),_xlfn.XLOOKUP(tbl_cleaning[[#This Row],[Scheme/Estate]],[1]!tbl_survey[Scheme Name],[1]!tbl_survey[Internal],"Not rated"),"Not rated")</f>
        <v>#VALUE!</v>
      </c>
      <c r="D580" s="432" t="s">
        <v>1383</v>
      </c>
      <c r="E580" s="451" t="s">
        <v>87</v>
      </c>
    </row>
    <row r="581" spans="1:5" ht="15" customHeight="1" x14ac:dyDescent="0.25">
      <c r="A581" s="462" t="s">
        <v>851</v>
      </c>
      <c r="B581" s="403" t="str">
        <f>_xlfn.XLOOKUP(tbl_cleaning[[#This Row],[Scheme/Estate]],[1]!tbl_survey[Scheme Name],[1]!tbl_survey[Internal],"Not rated")</f>
        <v>Not rated</v>
      </c>
      <c r="C581" s="403" t="e">
        <f t="array" ref="C581">IF(DATEVALUE([1]!tbl_survey[Date of inspection])&gt;DATEVALUE(B577),_xlfn.XLOOKUP(tbl_cleaning[[#This Row],[Scheme/Estate]],[1]!tbl_survey[Scheme Name],[1]!tbl_survey[Internal],"Not rated"),"Not rated")</f>
        <v>#VALUE!</v>
      </c>
      <c r="D581" s="432" t="s">
        <v>1378</v>
      </c>
      <c r="E581" s="448" t="s">
        <v>87</v>
      </c>
    </row>
    <row r="582" spans="1:5" ht="15" customHeight="1" x14ac:dyDescent="0.25">
      <c r="A582" s="462" t="s">
        <v>1357</v>
      </c>
      <c r="B582" s="403" t="str">
        <f>_xlfn.XLOOKUP(tbl_cleaning[[#This Row],[Scheme/Estate]],[1]!tbl_survey[Scheme Name],[1]!tbl_survey[Internal],"Not rated")</f>
        <v>Not rated</v>
      </c>
      <c r="C582" s="403" t="e">
        <f t="array" ref="C582">IF(DATEVALUE([1]!tbl_survey[Date of inspection])&gt;DATEVALUE(B578),_xlfn.XLOOKUP(tbl_cleaning[[#This Row],[Scheme/Estate]],[1]!tbl_survey[Scheme Name],[1]!tbl_survey[Internal],"Not rated"),"Not rated")</f>
        <v>#VALUE!</v>
      </c>
      <c r="D582" s="432" t="s">
        <v>1365</v>
      </c>
      <c r="E582" s="447" t="s">
        <v>87</v>
      </c>
    </row>
    <row r="583" spans="1:5" ht="15" customHeight="1" x14ac:dyDescent="0.25">
      <c r="A583" s="462" t="s">
        <v>853</v>
      </c>
      <c r="B583" s="403" t="str">
        <f>_xlfn.XLOOKUP(tbl_cleaning[[#This Row],[Scheme/Estate]],[1]!tbl_survey[Scheme Name],[1]!tbl_survey[Internal],"Not rated")</f>
        <v>Not rated</v>
      </c>
      <c r="C583" s="403" t="e">
        <f t="array" ref="C583">IF(DATEVALUE([1]!tbl_survey[Date of inspection])&gt;DATEVALUE(B579),_xlfn.XLOOKUP(tbl_cleaning[[#This Row],[Scheme/Estate]],[1]!tbl_survey[Scheme Name],[1]!tbl_survey[Internal],"Not rated"),"Not rated")</f>
        <v>#VALUE!</v>
      </c>
      <c r="D583" s="432" t="s">
        <v>1378</v>
      </c>
      <c r="E583" s="452" t="s">
        <v>87</v>
      </c>
    </row>
    <row r="584" spans="1:5" ht="15" customHeight="1" x14ac:dyDescent="0.25">
      <c r="A584" s="462" t="s">
        <v>1420</v>
      </c>
      <c r="B584" s="403" t="str">
        <f>_xlfn.XLOOKUP(tbl_cleaning[[#This Row],[Scheme/Estate]],[1]!tbl_survey[Scheme Name],[1]!tbl_survey[Internal],"Not rated")</f>
        <v>Not rated</v>
      </c>
      <c r="C584" s="403" t="e">
        <f t="array" ref="C584">IF(DATEVALUE([1]!tbl_survey[Date of inspection])&gt;DATEVALUE(B580),_xlfn.XLOOKUP(tbl_cleaning[[#This Row],[Scheme/Estate]],[1]!tbl_survey[Scheme Name],[1]!tbl_survey[Internal],"Not rated"),"Not rated")</f>
        <v>#VALUE!</v>
      </c>
      <c r="D584" s="432" t="s">
        <v>1365</v>
      </c>
      <c r="E584" s="443" t="s">
        <v>87</v>
      </c>
    </row>
    <row r="585" spans="1:5" ht="15" customHeight="1" x14ac:dyDescent="0.25">
      <c r="A585" s="462" t="s">
        <v>855</v>
      </c>
      <c r="B585" s="403" t="str">
        <f>_xlfn.XLOOKUP(tbl_cleaning[[#This Row],[Scheme/Estate]],[1]!tbl_survey[Scheme Name],[1]!tbl_survey[Internal],"Not rated")</f>
        <v>Not rated</v>
      </c>
      <c r="C585" s="403" t="e">
        <f t="array" ref="C585">IF(DATEVALUE([1]!tbl_survey[Date of inspection])&gt;DATEVALUE(B581),_xlfn.XLOOKUP(tbl_cleaning[[#This Row],[Scheme/Estate]],[1]!tbl_survey[Scheme Name],[1]!tbl_survey[Internal],"Not rated"),"Not rated")</f>
        <v>#VALUE!</v>
      </c>
      <c r="D585" s="432" t="s">
        <v>1376</v>
      </c>
      <c r="E585" s="154" t="s">
        <v>60</v>
      </c>
    </row>
    <row r="586" spans="1:5" ht="15" customHeight="1" x14ac:dyDescent="0.25">
      <c r="A586" s="462" t="s">
        <v>1351</v>
      </c>
      <c r="B586" s="403" t="str">
        <f>_xlfn.XLOOKUP(tbl_cleaning[[#This Row],[Scheme/Estate]],[1]!tbl_survey[Scheme Name],[1]!tbl_survey[Internal],"Not rated")</f>
        <v>Not rated</v>
      </c>
      <c r="C586" s="403" t="e">
        <f t="array" ref="C586">IF(DATEVALUE([1]!tbl_survey[Date of inspection])&gt;DATEVALUE(B582),_xlfn.XLOOKUP(tbl_cleaning[[#This Row],[Scheme/Estate]],[1]!tbl_survey[Scheme Name],[1]!tbl_survey[Internal],"Not rated"),"Not rated")</f>
        <v>#VALUE!</v>
      </c>
      <c r="D586" s="432" t="s">
        <v>1376</v>
      </c>
      <c r="E586" s="449" t="s">
        <v>60</v>
      </c>
    </row>
    <row r="587" spans="1:5" ht="15" customHeight="1" x14ac:dyDescent="0.25">
      <c r="A587" s="493" t="s">
        <v>861</v>
      </c>
      <c r="B587" s="403">
        <f>_xlfn.XLOOKUP(tbl_cleaning[[#This Row],[Scheme/Estate]],[1]!tbl_survey[Scheme Name],[1]!tbl_survey[Internal],"Not rated")</f>
        <v>3</v>
      </c>
      <c r="C587" s="403" t="e">
        <f t="array" ref="C587">IF(DATEVALUE([1]!tbl_survey[Date of inspection])&gt;DATEVALUE(B583),_xlfn.XLOOKUP(tbl_cleaning[[#This Row],[Scheme/Estate]],[1]!tbl_survey[Scheme Name],[1]!tbl_survey[Internal],"Not rated"),"Not rated")</f>
        <v>#VALUE!</v>
      </c>
      <c r="D587" s="432" t="s">
        <v>1370</v>
      </c>
      <c r="E587" s="154" t="s">
        <v>93</v>
      </c>
    </row>
    <row r="588" spans="1:5" ht="15" customHeight="1" x14ac:dyDescent="0.25">
      <c r="A588" s="463" t="s">
        <v>862</v>
      </c>
      <c r="B588" s="403" t="str">
        <f>_xlfn.XLOOKUP(tbl_cleaning[[#This Row],[Scheme/Estate]],[1]!tbl_survey[Scheme Name],[1]!tbl_survey[Internal],"Not rated")</f>
        <v>Not rated</v>
      </c>
      <c r="C588" s="403" t="e">
        <f t="array" ref="C588">IF(DATEVALUE([1]!tbl_survey[Date of inspection])&gt;DATEVALUE(B584),_xlfn.XLOOKUP(tbl_cleaning[[#This Row],[Scheme/Estate]],[1]!tbl_survey[Scheme Name],[1]!tbl_survey[Internal],"Not rated"),"Not rated")</f>
        <v>#VALUE!</v>
      </c>
      <c r="D588" s="432" t="s">
        <v>1386</v>
      </c>
      <c r="E588" s="154" t="s">
        <v>93</v>
      </c>
    </row>
    <row r="589" spans="1:5" ht="15" customHeight="1" x14ac:dyDescent="0.25">
      <c r="A589" s="462" t="s">
        <v>864</v>
      </c>
      <c r="B589" s="403" t="str">
        <f>_xlfn.XLOOKUP(tbl_cleaning[[#This Row],[Scheme/Estate]],[1]!tbl_survey[Scheme Name],[1]!tbl_survey[Internal],"Not rated")</f>
        <v>Not rated</v>
      </c>
      <c r="C589" s="403" t="e">
        <f t="array" ref="C589">IF(DATEVALUE([1]!tbl_survey[Date of inspection])&gt;DATEVALUE(B585),_xlfn.XLOOKUP(tbl_cleaning[[#This Row],[Scheme/Estate]],[1]!tbl_survey[Scheme Name],[1]!tbl_survey[Internal],"Not rated"),"Not rated")</f>
        <v>#VALUE!</v>
      </c>
      <c r="D589" s="432" t="s">
        <v>1378</v>
      </c>
      <c r="E589" s="443" t="s">
        <v>87</v>
      </c>
    </row>
    <row r="590" spans="1:5" ht="15" customHeight="1" x14ac:dyDescent="0.25">
      <c r="A590" s="470" t="s">
        <v>870</v>
      </c>
      <c r="B590" s="403" t="str">
        <f>_xlfn.XLOOKUP(tbl_cleaning[[#This Row],[Scheme/Estate]],[1]!tbl_survey[Scheme Name],[1]!tbl_survey[Internal],"Not rated")</f>
        <v>Not rated</v>
      </c>
      <c r="C590" s="403" t="e">
        <f t="array" ref="C590">IF(DATEVALUE([1]!tbl_survey[Date of inspection])&gt;DATEVALUE(B586),_xlfn.XLOOKUP(tbl_cleaning[[#This Row],[Scheme/Estate]],[1]!tbl_survey[Scheme Name],[1]!tbl_survey[Internal],"Not rated"),"Not rated")</f>
        <v>#VALUE!</v>
      </c>
      <c r="D590" s="432" t="s">
        <v>1381</v>
      </c>
      <c r="E590" s="154" t="s">
        <v>60</v>
      </c>
    </row>
    <row r="591" spans="1:5" ht="15" customHeight="1" x14ac:dyDescent="0.25">
      <c r="A591" s="391" t="s">
        <v>871</v>
      </c>
      <c r="B591" s="403" t="str">
        <f>_xlfn.XLOOKUP(tbl_cleaning[[#This Row],[Scheme/Estate]],[1]!tbl_survey[Scheme Name],[1]!tbl_survey[Internal],"Not rated")</f>
        <v>Not rated</v>
      </c>
      <c r="C591" s="403" t="e">
        <f t="array" ref="C591">IF(DATEVALUE([1]!tbl_survey[Date of inspection])&gt;DATEVALUE(B587),_xlfn.XLOOKUP(tbl_cleaning[[#This Row],[Scheme/Estate]],[1]!tbl_survey[Scheme Name],[1]!tbl_survey[Internal],"Not rated"),"Not rated")</f>
        <v>#VALUE!</v>
      </c>
      <c r="D591" s="432" t="s">
        <v>1376</v>
      </c>
      <c r="E591" s="154" t="s">
        <v>60</v>
      </c>
    </row>
    <row r="592" spans="1:5" ht="15" customHeight="1" x14ac:dyDescent="0.25">
      <c r="A592" s="462" t="s">
        <v>872</v>
      </c>
      <c r="B592" s="403" t="str">
        <f>_xlfn.XLOOKUP(tbl_cleaning[[#This Row],[Scheme/Estate]],[1]!tbl_survey[Scheme Name],[1]!tbl_survey[Internal],"Not rated")</f>
        <v>Not rated</v>
      </c>
      <c r="C592" s="403" t="e">
        <f t="array" ref="C592">IF(DATEVALUE([1]!tbl_survey[Date of inspection])&gt;DATEVALUE(B588),_xlfn.XLOOKUP(tbl_cleaning[[#This Row],[Scheme/Estate]],[1]!tbl_survey[Scheme Name],[1]!tbl_survey[Internal],"Not rated"),"Not rated")</f>
        <v>#VALUE!</v>
      </c>
      <c r="D592" s="432" t="s">
        <v>1366</v>
      </c>
      <c r="E592" s="443" t="s">
        <v>87</v>
      </c>
    </row>
    <row r="593" spans="1:5" ht="15" customHeight="1" x14ac:dyDescent="0.25">
      <c r="A593" s="462" t="s">
        <v>873</v>
      </c>
      <c r="B593" s="403" t="str">
        <f>_xlfn.XLOOKUP(tbl_cleaning[[#This Row],[Scheme/Estate]],[1]!tbl_survey[Scheme Name],[1]!tbl_survey[Internal],"Not rated")</f>
        <v>Not rated</v>
      </c>
      <c r="C593" s="403" t="e">
        <f t="array" ref="C593">IF(DATEVALUE([1]!tbl_survey[Date of inspection])&gt;DATEVALUE(B589),_xlfn.XLOOKUP(tbl_cleaning[[#This Row],[Scheme/Estate]],[1]!tbl_survey[Scheme Name],[1]!tbl_survey[Internal],"Not rated"),"Not rated")</f>
        <v>#VALUE!</v>
      </c>
      <c r="D593" s="432" t="s">
        <v>1376</v>
      </c>
      <c r="E593" s="154" t="s">
        <v>60</v>
      </c>
    </row>
    <row r="594" spans="1:5" ht="15" customHeight="1" x14ac:dyDescent="0.25">
      <c r="A594" s="470" t="s">
        <v>874</v>
      </c>
      <c r="B594" s="403" t="str">
        <f>_xlfn.XLOOKUP(tbl_cleaning[[#This Row],[Scheme/Estate]],[1]!tbl_survey[Scheme Name],[1]!tbl_survey[Internal],"Not rated")</f>
        <v>Not rated</v>
      </c>
      <c r="C594" s="403" t="e">
        <f t="array" ref="C594">IF(DATEVALUE([1]!tbl_survey[Date of inspection])&gt;DATEVALUE(B590),_xlfn.XLOOKUP(tbl_cleaning[[#This Row],[Scheme/Estate]],[1]!tbl_survey[Scheme Name],[1]!tbl_survey[Internal],"Not rated"),"Not rated")</f>
        <v>#VALUE!</v>
      </c>
      <c r="D594" s="432" t="s">
        <v>1372</v>
      </c>
      <c r="E594" s="154" t="s">
        <v>60</v>
      </c>
    </row>
    <row r="595" spans="1:5" ht="15" customHeight="1" x14ac:dyDescent="0.25">
      <c r="A595" s="464" t="s">
        <v>876</v>
      </c>
      <c r="B595" s="403" t="str">
        <f>_xlfn.XLOOKUP(tbl_cleaning[[#This Row],[Scheme/Estate]],[1]!tbl_survey[Scheme Name],[1]!tbl_survey[Internal],"Not rated")</f>
        <v>Not rated</v>
      </c>
      <c r="C595" s="403" t="e">
        <f t="array" ref="C595">IF(DATEVALUE([1]!tbl_survey[Date of inspection])&gt;DATEVALUE(B591),_xlfn.XLOOKUP(tbl_cleaning[[#This Row],[Scheme/Estate]],[1]!tbl_survey[Scheme Name],[1]!tbl_survey[Internal],"Not rated"),"Not rated")</f>
        <v>#VALUE!</v>
      </c>
      <c r="D595" s="433" t="s">
        <v>1374</v>
      </c>
      <c r="E595" s="454" t="s">
        <v>55</v>
      </c>
    </row>
    <row r="596" spans="1:5" ht="15" customHeight="1" x14ac:dyDescent="0.25">
      <c r="A596" s="464" t="s">
        <v>877</v>
      </c>
      <c r="B596" s="403">
        <f>_xlfn.XLOOKUP(tbl_cleaning[[#This Row],[Scheme/Estate]],[1]!tbl_survey[Scheme Name],[1]!tbl_survey[Internal],"Not rated")</f>
        <v>4</v>
      </c>
      <c r="C596" s="403" t="e">
        <f t="array" ref="C596">IF(DATEVALUE([1]!tbl_survey[Date of inspection])&gt;DATEVALUE(B592),_xlfn.XLOOKUP(tbl_cleaning[[#This Row],[Scheme/Estate]],[1]!tbl_survey[Scheme Name],[1]!tbl_survey[Internal],"Not rated"),"Not rated")</f>
        <v>#VALUE!</v>
      </c>
      <c r="D596" s="432" t="s">
        <v>1379</v>
      </c>
      <c r="E596" s="154" t="s">
        <v>58</v>
      </c>
    </row>
    <row r="597" spans="1:5" ht="15" customHeight="1" x14ac:dyDescent="0.25">
      <c r="A597" s="391" t="s">
        <v>878</v>
      </c>
      <c r="B597" s="403" t="str">
        <f>_xlfn.XLOOKUP(tbl_cleaning[[#This Row],[Scheme/Estate]],[1]!tbl_survey[Scheme Name],[1]!tbl_survey[Internal],"Not rated")</f>
        <v>Not rated</v>
      </c>
      <c r="C597" s="403" t="e">
        <f t="array" ref="C597">IF(DATEVALUE([1]!tbl_survey[Date of inspection])&gt;DATEVALUE(B593),_xlfn.XLOOKUP(tbl_cleaning[[#This Row],[Scheme/Estate]],[1]!tbl_survey[Scheme Name],[1]!tbl_survey[Internal],"Not rated"),"Not rated")</f>
        <v>#VALUE!</v>
      </c>
      <c r="D597" s="432" t="s">
        <v>1379</v>
      </c>
      <c r="E597" s="154" t="s">
        <v>58</v>
      </c>
    </row>
    <row r="598" spans="1:5" ht="15" customHeight="1" x14ac:dyDescent="0.25">
      <c r="A598" s="391" t="s">
        <v>879</v>
      </c>
      <c r="B598" s="403" t="str">
        <f>_xlfn.XLOOKUP(tbl_cleaning[[#This Row],[Scheme/Estate]],[1]!tbl_survey[Scheme Name],[1]!tbl_survey[Internal],"Not rated")</f>
        <v>Not rated</v>
      </c>
      <c r="C598" s="403" t="e">
        <f t="array" ref="C598">IF(DATEVALUE([1]!tbl_survey[Date of inspection])&gt;DATEVALUE(B594),_xlfn.XLOOKUP(tbl_cleaning[[#This Row],[Scheme/Estate]],[1]!tbl_survey[Scheme Name],[1]!tbl_survey[Internal],"Not rated"),"Not rated")</f>
        <v>#VALUE!</v>
      </c>
      <c r="D598" s="432" t="s">
        <v>1379</v>
      </c>
      <c r="E598" s="450" t="s">
        <v>58</v>
      </c>
    </row>
    <row r="599" spans="1:5" ht="15" customHeight="1" x14ac:dyDescent="0.25">
      <c r="A599" s="391" t="s">
        <v>881</v>
      </c>
      <c r="B599" s="403" t="str">
        <f>_xlfn.XLOOKUP(tbl_cleaning[[#This Row],[Scheme/Estate]],[1]!tbl_survey[Scheme Name],[1]!tbl_survey[Internal],"Not rated")</f>
        <v>Not rated</v>
      </c>
      <c r="C599" s="403" t="e">
        <f t="array" ref="C599">IF(DATEVALUE([1]!tbl_survey[Date of inspection])&gt;DATEVALUE(B595),_xlfn.XLOOKUP(tbl_cleaning[[#This Row],[Scheme/Estate]],[1]!tbl_survey[Scheme Name],[1]!tbl_survey[Internal],"Not rated"),"Not rated")</f>
        <v>#VALUE!</v>
      </c>
      <c r="D599" s="432" t="s">
        <v>1379</v>
      </c>
      <c r="E599" s="447" t="s">
        <v>58</v>
      </c>
    </row>
    <row r="600" spans="1:5" ht="15" customHeight="1" x14ac:dyDescent="0.25">
      <c r="A600" s="462" t="s">
        <v>883</v>
      </c>
      <c r="B600" s="403" t="str">
        <f>_xlfn.XLOOKUP(tbl_cleaning[[#This Row],[Scheme/Estate]],[1]!tbl_survey[Scheme Name],[1]!tbl_survey[Internal],"Not rated")</f>
        <v>Not rated</v>
      </c>
      <c r="C600" s="403" t="e">
        <f t="array" ref="C600">IF(DATEVALUE([1]!tbl_survey[Date of inspection])&gt;DATEVALUE(B596),_xlfn.XLOOKUP(tbl_cleaning[[#This Row],[Scheme/Estate]],[1]!tbl_survey[Scheme Name],[1]!tbl_survey[Internal],"Not rated"),"Not rated")</f>
        <v>#VALUE!</v>
      </c>
      <c r="D600" s="432" t="s">
        <v>1378</v>
      </c>
      <c r="E600" s="452" t="s">
        <v>87</v>
      </c>
    </row>
    <row r="601" spans="1:5" ht="15" customHeight="1" x14ac:dyDescent="0.25">
      <c r="A601" s="470" t="s">
        <v>884</v>
      </c>
      <c r="B601" s="403" t="str">
        <f>_xlfn.XLOOKUP(tbl_cleaning[[#This Row],[Scheme/Estate]],[1]!tbl_survey[Scheme Name],[1]!tbl_survey[Internal],"Not rated")</f>
        <v>Not rated</v>
      </c>
      <c r="C601" s="403" t="e">
        <f t="array" ref="C601">IF(DATEVALUE([1]!tbl_survey[Date of inspection])&gt;DATEVALUE(B597),_xlfn.XLOOKUP(tbl_cleaning[[#This Row],[Scheme/Estate]],[1]!tbl_survey[Scheme Name],[1]!tbl_survey[Internal],"Not rated"),"Not rated")</f>
        <v>#VALUE!</v>
      </c>
      <c r="D601" s="432" t="s">
        <v>1378</v>
      </c>
      <c r="E601" s="443" t="s">
        <v>87</v>
      </c>
    </row>
    <row r="602" spans="1:5" ht="15" customHeight="1" x14ac:dyDescent="0.25">
      <c r="A602" s="463" t="s">
        <v>885</v>
      </c>
      <c r="B602" s="403" t="str">
        <f>_xlfn.XLOOKUP(tbl_cleaning[[#This Row],[Scheme/Estate]],[1]!tbl_survey[Scheme Name],[1]!tbl_survey[Internal],"Not rated")</f>
        <v>Not rated</v>
      </c>
      <c r="C602" s="403" t="e">
        <f t="array" ref="C602">IF(DATEVALUE([1]!tbl_survey[Date of inspection])&gt;DATEVALUE(B598),_xlfn.XLOOKUP(tbl_cleaning[[#This Row],[Scheme/Estate]],[1]!tbl_survey[Scheme Name],[1]!tbl_survey[Internal],"Not rated"),"Not rated")</f>
        <v>#VALUE!</v>
      </c>
      <c r="D602" s="432" t="s">
        <v>1388</v>
      </c>
      <c r="E602" s="449" t="s">
        <v>93</v>
      </c>
    </row>
    <row r="603" spans="1:5" ht="15" customHeight="1" x14ac:dyDescent="0.25">
      <c r="A603" s="463" t="s">
        <v>1312</v>
      </c>
      <c r="B603" s="403" t="str">
        <f>_xlfn.XLOOKUP(tbl_cleaning[[#This Row],[Scheme/Estate]],[1]!tbl_survey[Scheme Name],[1]!tbl_survey[Internal],"Not rated")</f>
        <v>Not rated</v>
      </c>
      <c r="C603" s="403" t="e">
        <f t="array" ref="C603">IF(DATEVALUE([1]!tbl_survey[Date of inspection])&gt;DATEVALUE(B599),_xlfn.XLOOKUP(tbl_cleaning[[#This Row],[Scheme/Estate]],[1]!tbl_survey[Scheme Name],[1]!tbl_survey[Internal],"Not rated"),"Not rated")</f>
        <v>#VALUE!</v>
      </c>
      <c r="D603" s="432" t="s">
        <v>1366</v>
      </c>
      <c r="E603" s="154" t="s">
        <v>87</v>
      </c>
    </row>
    <row r="604" spans="1:5" ht="15" customHeight="1" x14ac:dyDescent="0.25">
      <c r="A604" s="462" t="s">
        <v>886</v>
      </c>
      <c r="B604" s="403" t="str">
        <f>_xlfn.XLOOKUP(tbl_cleaning[[#This Row],[Scheme/Estate]],[1]!tbl_survey[Scheme Name],[1]!tbl_survey[Internal],"Not rated")</f>
        <v>Not rated</v>
      </c>
      <c r="C604" s="403" t="e">
        <f t="array" ref="C604">IF(DATEVALUE([1]!tbl_survey[Date of inspection])&gt;DATEVALUE(B600),_xlfn.XLOOKUP(tbl_cleaning[[#This Row],[Scheme/Estate]],[1]!tbl_survey[Scheme Name],[1]!tbl_survey[Internal],"Not rated"),"Not rated")</f>
        <v>#VALUE!</v>
      </c>
      <c r="D604" s="432" t="s">
        <v>1378</v>
      </c>
      <c r="E604" s="453" t="s">
        <v>87</v>
      </c>
    </row>
    <row r="605" spans="1:5" ht="15" customHeight="1" x14ac:dyDescent="0.25">
      <c r="A605" s="467" t="s">
        <v>887</v>
      </c>
      <c r="B605" s="403" t="str">
        <f>_xlfn.XLOOKUP(tbl_cleaning[[#This Row],[Scheme/Estate]],[1]!tbl_survey[Scheme Name],[1]!tbl_survey[Internal],"Not rated")</f>
        <v>Not rated</v>
      </c>
      <c r="C605" s="403" t="e">
        <f t="array" ref="C605">IF(DATEVALUE([1]!tbl_survey[Date of inspection])&gt;DATEVALUE(B601),_xlfn.XLOOKUP(tbl_cleaning[[#This Row],[Scheme/Estate]],[1]!tbl_survey[Scheme Name],[1]!tbl_survey[Internal],"Not rated"),"Not rated")</f>
        <v>#VALUE!</v>
      </c>
      <c r="D605" s="432" t="s">
        <v>1368</v>
      </c>
      <c r="E605" s="447" t="s">
        <v>60</v>
      </c>
    </row>
    <row r="606" spans="1:5" ht="15" customHeight="1" x14ac:dyDescent="0.25">
      <c r="A606" s="462" t="s">
        <v>888</v>
      </c>
      <c r="B606" s="403" t="str">
        <f>_xlfn.XLOOKUP(tbl_cleaning[[#This Row],[Scheme/Estate]],[1]!tbl_survey[Scheme Name],[1]!tbl_survey[Internal],"Not rated")</f>
        <v>Not rated</v>
      </c>
      <c r="C606" s="403" t="e">
        <f t="array" ref="C606">IF(DATEVALUE([1]!tbl_survey[Date of inspection])&gt;DATEVALUE(B602),_xlfn.XLOOKUP(tbl_cleaning[[#This Row],[Scheme/Estate]],[1]!tbl_survey[Scheme Name],[1]!tbl_survey[Internal],"Not rated"),"Not rated")</f>
        <v>#VALUE!</v>
      </c>
      <c r="D606" s="432" t="s">
        <v>1380</v>
      </c>
      <c r="E606" s="446" t="s">
        <v>60</v>
      </c>
    </row>
    <row r="607" spans="1:5" ht="15" customHeight="1" x14ac:dyDescent="0.25">
      <c r="A607" s="465" t="s">
        <v>889</v>
      </c>
      <c r="B607" s="403">
        <f>_xlfn.XLOOKUP(tbl_cleaning[[#This Row],[Scheme/Estate]],[1]!tbl_survey[Scheme Name],[1]!tbl_survey[Internal],"Not rated")</f>
        <v>3</v>
      </c>
      <c r="C607" s="403" t="e">
        <f t="array" ref="C607">IF(DATEVALUE([1]!tbl_survey[Date of inspection])&gt;DATEVALUE(B603),_xlfn.XLOOKUP(tbl_cleaning[[#This Row],[Scheme/Estate]],[1]!tbl_survey[Scheme Name],[1]!tbl_survey[Internal],"Not rated"),"Not rated")</f>
        <v>#VALUE!</v>
      </c>
      <c r="D607" s="432" t="s">
        <v>1372</v>
      </c>
      <c r="E607" s="154" t="s">
        <v>60</v>
      </c>
    </row>
    <row r="608" spans="1:5" ht="15" customHeight="1" x14ac:dyDescent="0.25">
      <c r="A608" s="465" t="s">
        <v>890</v>
      </c>
      <c r="B608" s="403" t="str">
        <f>_xlfn.XLOOKUP(tbl_cleaning[[#This Row],[Scheme/Estate]],[1]!tbl_survey[Scheme Name],[1]!tbl_survey[Internal],"Not rated")</f>
        <v>Not rated</v>
      </c>
      <c r="C608" s="403" t="e">
        <f t="array" ref="C608">IF(DATEVALUE([1]!tbl_survey[Date of inspection])&gt;DATEVALUE(B604),_xlfn.XLOOKUP(tbl_cleaning[[#This Row],[Scheme/Estate]],[1]!tbl_survey[Scheme Name],[1]!tbl_survey[Internal],"Not rated"),"Not rated")</f>
        <v>#VALUE!</v>
      </c>
      <c r="D608" s="432" t="s">
        <v>1380</v>
      </c>
      <c r="E608" s="154" t="s">
        <v>60</v>
      </c>
    </row>
    <row r="609" spans="1:5" ht="15" customHeight="1" x14ac:dyDescent="0.25">
      <c r="A609" s="472" t="s">
        <v>891</v>
      </c>
      <c r="B609" s="403" t="str">
        <f>_xlfn.XLOOKUP(tbl_cleaning[[#This Row],[Scheme/Estate]],[1]!tbl_survey[Scheme Name],[1]!tbl_survey[Internal],"Not rated")</f>
        <v>Not rated</v>
      </c>
      <c r="C609" s="403" t="e">
        <f t="array" ref="C609">IF(DATEVALUE([1]!tbl_survey[Date of inspection])&gt;DATEVALUE(B605),_xlfn.XLOOKUP(tbl_cleaning[[#This Row],[Scheme/Estate]],[1]!tbl_survey[Scheme Name],[1]!tbl_survey[Internal],"Not rated"),"Not rated")</f>
        <v>#VALUE!</v>
      </c>
      <c r="D609" s="432" t="s">
        <v>1375</v>
      </c>
      <c r="E609" s="154" t="s">
        <v>60</v>
      </c>
    </row>
    <row r="610" spans="1:5" ht="15" customHeight="1" x14ac:dyDescent="0.25">
      <c r="A610" s="467" t="s">
        <v>1352</v>
      </c>
      <c r="B610" s="403" t="str">
        <f>_xlfn.XLOOKUP(tbl_cleaning[[#This Row],[Scheme/Estate]],[1]!tbl_survey[Scheme Name],[1]!tbl_survey[Internal],"Not rated")</f>
        <v>Not rated</v>
      </c>
      <c r="C610" s="403" t="e">
        <f t="array" ref="C610">IF(DATEVALUE([1]!tbl_survey[Date of inspection])&gt;DATEVALUE(B606),_xlfn.XLOOKUP(tbl_cleaning[[#This Row],[Scheme/Estate]],[1]!tbl_survey[Scheme Name],[1]!tbl_survey[Internal],"Not rated"),"Not rated")</f>
        <v>#VALUE!</v>
      </c>
      <c r="D610" s="432" t="s">
        <v>1368</v>
      </c>
      <c r="E610" s="449" t="s">
        <v>60</v>
      </c>
    </row>
    <row r="611" spans="1:5" ht="15" customHeight="1" x14ac:dyDescent="0.25">
      <c r="A611" s="465" t="s">
        <v>893</v>
      </c>
      <c r="B611" s="403" t="str">
        <f>_xlfn.XLOOKUP(tbl_cleaning[[#This Row],[Scheme/Estate]],[1]!tbl_survey[Scheme Name],[1]!tbl_survey[Internal],"Not rated")</f>
        <v>Not rated</v>
      </c>
      <c r="C611" s="403" t="e">
        <f t="array" ref="C611">IF(DATEVALUE([1]!tbl_survey[Date of inspection])&gt;DATEVALUE(B607),_xlfn.XLOOKUP(tbl_cleaning[[#This Row],[Scheme/Estate]],[1]!tbl_survey[Scheme Name],[1]!tbl_survey[Internal],"Not rated"),"Not rated")</f>
        <v>#VALUE!</v>
      </c>
      <c r="D611" s="432" t="s">
        <v>1366</v>
      </c>
      <c r="E611" s="443" t="s">
        <v>87</v>
      </c>
    </row>
    <row r="612" spans="1:5" ht="15" customHeight="1" x14ac:dyDescent="0.25">
      <c r="A612" s="467" t="s">
        <v>894</v>
      </c>
      <c r="B612" s="403" t="str">
        <f>_xlfn.XLOOKUP(tbl_cleaning[[#This Row],[Scheme/Estate]],[1]!tbl_survey[Scheme Name],[1]!tbl_survey[Internal],"Not rated")</f>
        <v>Not rated</v>
      </c>
      <c r="C612" s="403" t="e">
        <f t="array" ref="C612">IF(DATEVALUE([1]!tbl_survey[Date of inspection])&gt;DATEVALUE(B608),_xlfn.XLOOKUP(tbl_cleaning[[#This Row],[Scheme/Estate]],[1]!tbl_survey[Scheme Name],[1]!tbl_survey[Internal],"Not rated"),"Not rated")</f>
        <v>#VALUE!</v>
      </c>
      <c r="D612" s="432" t="s">
        <v>1378</v>
      </c>
      <c r="E612" s="453" t="s">
        <v>87</v>
      </c>
    </row>
    <row r="613" spans="1:5" ht="15" customHeight="1" x14ac:dyDescent="0.25">
      <c r="A613" s="463" t="s">
        <v>897</v>
      </c>
      <c r="B613" s="403">
        <f>_xlfn.XLOOKUP(tbl_cleaning[[#This Row],[Scheme/Estate]],[1]!tbl_survey[Scheme Name],[1]!tbl_survey[Internal],"Not rated")</f>
        <v>3</v>
      </c>
      <c r="C613" s="403" t="e">
        <f t="array" ref="C613">IF(DATEVALUE([1]!tbl_survey[Date of inspection])&gt;DATEVALUE(B609),_xlfn.XLOOKUP(tbl_cleaning[[#This Row],[Scheme/Estate]],[1]!tbl_survey[Scheme Name],[1]!tbl_survey[Internal],"Not rated"),"Not rated")</f>
        <v>#VALUE!</v>
      </c>
      <c r="D613" s="432" t="s">
        <v>1386</v>
      </c>
      <c r="E613" s="447" t="s">
        <v>93</v>
      </c>
    </row>
    <row r="614" spans="1:5" ht="15" customHeight="1" x14ac:dyDescent="0.25">
      <c r="A614" s="462" t="s">
        <v>899</v>
      </c>
      <c r="B614" s="403" t="str">
        <f>_xlfn.XLOOKUP(tbl_cleaning[[#This Row],[Scheme/Estate]],[1]!tbl_survey[Scheme Name],[1]!tbl_survey[Internal],"Not rated")</f>
        <v>Not rated</v>
      </c>
      <c r="C614" s="403" t="e">
        <f t="array" ref="C614">IF(DATEVALUE([1]!tbl_survey[Date of inspection])&gt;DATEVALUE(B610),_xlfn.XLOOKUP(tbl_cleaning[[#This Row],[Scheme/Estate]],[1]!tbl_survey[Scheme Name],[1]!tbl_survey[Internal],"Not rated"),"Not rated")</f>
        <v>#VALUE!</v>
      </c>
      <c r="D614" s="432" t="s">
        <v>1381</v>
      </c>
      <c r="E614" s="447" t="s">
        <v>60</v>
      </c>
    </row>
    <row r="615" spans="1:5" ht="15" customHeight="1" x14ac:dyDescent="0.25">
      <c r="A615" s="494" t="s">
        <v>1406</v>
      </c>
      <c r="B615" s="403" t="str">
        <f>_xlfn.XLOOKUP(tbl_cleaning[[#This Row],[Scheme/Estate]],[1]!tbl_survey[Scheme Name],[1]!tbl_survey[Internal],"Not rated")</f>
        <v>Not rated</v>
      </c>
      <c r="C615" s="403" t="e">
        <f t="array" ref="C615">IF(DATEVALUE([1]!tbl_survey[Date of inspection])&gt;DATEVALUE(B611),_xlfn.XLOOKUP(tbl_cleaning[[#This Row],[Scheme/Estate]],[1]!tbl_survey[Scheme Name],[1]!tbl_survey[Internal],"Not rated"),"Not rated")</f>
        <v>#VALUE!</v>
      </c>
      <c r="D615" s="438" t="s">
        <v>1379</v>
      </c>
      <c r="E615" s="451" t="s">
        <v>409</v>
      </c>
    </row>
    <row r="616" spans="1:5" ht="15" customHeight="1" x14ac:dyDescent="0.25">
      <c r="A616" s="463" t="s">
        <v>902</v>
      </c>
      <c r="B616" s="403" t="str">
        <f>_xlfn.XLOOKUP(tbl_cleaning[[#This Row],[Scheme/Estate]],[1]!tbl_survey[Scheme Name],[1]!tbl_survey[Internal],"Not rated")</f>
        <v>Not rated</v>
      </c>
      <c r="C616" s="403" t="e">
        <f t="array" ref="C616">IF(DATEVALUE([1]!tbl_survey[Date of inspection])&gt;DATEVALUE(B612),_xlfn.XLOOKUP(tbl_cleaning[[#This Row],[Scheme/Estate]],[1]!tbl_survey[Scheme Name],[1]!tbl_survey[Internal],"Not rated"),"Not rated")</f>
        <v>#VALUE!</v>
      </c>
      <c r="D616" s="432" t="s">
        <v>1376</v>
      </c>
      <c r="E616" s="448" t="s">
        <v>60</v>
      </c>
    </row>
    <row r="617" spans="1:5" ht="15" customHeight="1" x14ac:dyDescent="0.25">
      <c r="A617" s="463" t="s">
        <v>904</v>
      </c>
      <c r="B617" s="403" t="str">
        <f>_xlfn.XLOOKUP(tbl_cleaning[[#This Row],[Scheme/Estate]],[1]!tbl_survey[Scheme Name],[1]!tbl_survey[Internal],"Not rated")</f>
        <v>Not rated</v>
      </c>
      <c r="C617" s="403" t="e">
        <f t="array" ref="C617">IF(DATEVALUE([1]!tbl_survey[Date of inspection])&gt;DATEVALUE(B613),_xlfn.XLOOKUP(tbl_cleaning[[#This Row],[Scheme/Estate]],[1]!tbl_survey[Scheme Name],[1]!tbl_survey[Internal],"Not rated"),"Not rated")</f>
        <v>#VALUE!</v>
      </c>
      <c r="D617" s="432" t="s">
        <v>1382</v>
      </c>
      <c r="E617" s="447" t="s">
        <v>93</v>
      </c>
    </row>
    <row r="618" spans="1:5" ht="15" customHeight="1" x14ac:dyDescent="0.25">
      <c r="A618" s="462" t="s">
        <v>906</v>
      </c>
      <c r="B618" s="403" t="str">
        <f>_xlfn.XLOOKUP(tbl_cleaning[[#This Row],[Scheme/Estate]],[1]!tbl_survey[Scheme Name],[1]!tbl_survey[Internal],"Not rated")</f>
        <v>Not rated</v>
      </c>
      <c r="C618" s="403" t="e">
        <f t="array" ref="C618">IF(DATEVALUE([1]!tbl_survey[Date of inspection])&gt;DATEVALUE(B614),_xlfn.XLOOKUP(tbl_cleaning[[#This Row],[Scheme/Estate]],[1]!tbl_survey[Scheme Name],[1]!tbl_survey[Internal],"Not rated"),"Not rated")</f>
        <v>#VALUE!</v>
      </c>
      <c r="D618" s="432" t="s">
        <v>1378</v>
      </c>
      <c r="E618" s="448" t="s">
        <v>87</v>
      </c>
    </row>
    <row r="619" spans="1:5" ht="15" customHeight="1" x14ac:dyDescent="0.25">
      <c r="A619" s="462" t="s">
        <v>907</v>
      </c>
      <c r="B619" s="403" t="str">
        <f>_xlfn.XLOOKUP(tbl_cleaning[[#This Row],[Scheme/Estate]],[1]!tbl_survey[Scheme Name],[1]!tbl_survey[Internal],"Not rated")</f>
        <v>Not rated</v>
      </c>
      <c r="C619" s="403" t="e">
        <f t="array" ref="C619">IF(DATEVALUE([1]!tbl_survey[Date of inspection])&gt;DATEVALUE(B615),_xlfn.XLOOKUP(tbl_cleaning[[#This Row],[Scheme/Estate]],[1]!tbl_survey[Scheme Name],[1]!tbl_survey[Internal],"Not rated"),"Not rated")</f>
        <v>#VALUE!</v>
      </c>
      <c r="D619" s="432" t="s">
        <v>1381</v>
      </c>
      <c r="E619" s="448" t="s">
        <v>60</v>
      </c>
    </row>
    <row r="620" spans="1:5" ht="15" customHeight="1" x14ac:dyDescent="0.25">
      <c r="A620" s="467" t="s">
        <v>908</v>
      </c>
      <c r="B620" s="403" t="str">
        <f>_xlfn.XLOOKUP(tbl_cleaning[[#This Row],[Scheme/Estate]],[1]!tbl_survey[Scheme Name],[1]!tbl_survey[Internal],"Not rated")</f>
        <v>Not rated</v>
      </c>
      <c r="C620" s="403" t="e">
        <f t="array" ref="C620">IF(DATEVALUE([1]!tbl_survey[Date of inspection])&gt;DATEVALUE(B616),_xlfn.XLOOKUP(tbl_cleaning[[#This Row],[Scheme/Estate]],[1]!tbl_survey[Scheme Name],[1]!tbl_survey[Internal],"Not rated"),"Not rated")</f>
        <v>#VALUE!</v>
      </c>
      <c r="D620" s="432" t="s">
        <v>1378</v>
      </c>
      <c r="E620" s="448" t="s">
        <v>87</v>
      </c>
    </row>
    <row r="621" spans="1:5" ht="15" customHeight="1" x14ac:dyDescent="0.25">
      <c r="A621" s="488" t="s">
        <v>1353</v>
      </c>
      <c r="B621" s="403" t="str">
        <f>_xlfn.XLOOKUP(tbl_cleaning[[#This Row],[Scheme/Estate]],[1]!tbl_survey[Scheme Name],[1]!tbl_survey[Internal],"Not rated")</f>
        <v>Not rated</v>
      </c>
      <c r="C621" s="403" t="e">
        <f t="array" ref="C621">IF(DATEVALUE([1]!tbl_survey[Date of inspection])&gt;DATEVALUE(B617),_xlfn.XLOOKUP(tbl_cleaning[[#This Row],[Scheme/Estate]],[1]!tbl_survey[Scheme Name],[1]!tbl_survey[Internal],"Not rated"),"Not rated")</f>
        <v>#VALUE!</v>
      </c>
      <c r="D621" s="439" t="s">
        <v>1383</v>
      </c>
      <c r="E621" s="452" t="s">
        <v>87</v>
      </c>
    </row>
    <row r="622" spans="1:5" ht="15" customHeight="1" x14ac:dyDescent="0.25">
      <c r="A622" s="462" t="s">
        <v>910</v>
      </c>
      <c r="B622" s="403" t="str">
        <f>_xlfn.XLOOKUP(tbl_cleaning[[#This Row],[Scheme/Estate]],[1]!tbl_survey[Scheme Name],[1]!tbl_survey[Internal],"Not rated")</f>
        <v>Not rated</v>
      </c>
      <c r="C622" s="403" t="e">
        <f t="array" ref="C622">IF(DATEVALUE([1]!tbl_survey[Date of inspection])&gt;DATEVALUE(B618),_xlfn.XLOOKUP(tbl_cleaning[[#This Row],[Scheme/Estate]],[1]!tbl_survey[Scheme Name],[1]!tbl_survey[Internal],"Not rated"),"Not rated")</f>
        <v>#VALUE!</v>
      </c>
      <c r="D622" s="432" t="s">
        <v>1375</v>
      </c>
      <c r="E622" s="154" t="s">
        <v>60</v>
      </c>
    </row>
    <row r="623" spans="1:5" ht="15" customHeight="1" x14ac:dyDescent="0.25">
      <c r="A623" s="462" t="s">
        <v>912</v>
      </c>
      <c r="B623" s="403">
        <f>_xlfn.XLOOKUP(tbl_cleaning[[#This Row],[Scheme/Estate]],[1]!tbl_survey[Scheme Name],[1]!tbl_survey[Internal],"Not rated")</f>
        <v>3</v>
      </c>
      <c r="C623" s="403" t="e">
        <f t="array" ref="C623">IF(DATEVALUE([1]!tbl_survey[Date of inspection])&gt;DATEVALUE(B619),_xlfn.XLOOKUP(tbl_cleaning[[#This Row],[Scheme/Estate]],[1]!tbl_survey[Scheme Name],[1]!tbl_survey[Internal],"Not rated"),"Not rated")</f>
        <v>#VALUE!</v>
      </c>
      <c r="D623" s="432" t="s">
        <v>1373</v>
      </c>
      <c r="E623" s="154" t="s">
        <v>58</v>
      </c>
    </row>
    <row r="624" spans="1:5" ht="15" customHeight="1" x14ac:dyDescent="0.25">
      <c r="A624" s="462" t="s">
        <v>913</v>
      </c>
      <c r="B624" s="403" t="str">
        <f>_xlfn.XLOOKUP(tbl_cleaning[[#This Row],[Scheme/Estate]],[1]!tbl_survey[Scheme Name],[1]!tbl_survey[Internal],"Not rated")</f>
        <v>Not rated</v>
      </c>
      <c r="C624" s="403" t="e">
        <f t="array" ref="C624">IF(DATEVALUE([1]!tbl_survey[Date of inspection])&gt;DATEVALUE(B620),_xlfn.XLOOKUP(tbl_cleaning[[#This Row],[Scheme/Estate]],[1]!tbl_survey[Scheme Name],[1]!tbl_survey[Internal],"Not rated"),"Not rated")</f>
        <v>#VALUE!</v>
      </c>
      <c r="D624" s="432" t="s">
        <v>1373</v>
      </c>
      <c r="E624" s="154" t="s">
        <v>58</v>
      </c>
    </row>
    <row r="625" spans="1:5" ht="15" customHeight="1" x14ac:dyDescent="0.25">
      <c r="A625" s="462" t="s">
        <v>914</v>
      </c>
      <c r="B625" s="403" t="str">
        <f>_xlfn.XLOOKUP(tbl_cleaning[[#This Row],[Scheme/Estate]],[1]!tbl_survey[Scheme Name],[1]!tbl_survey[Internal],"Not rated")</f>
        <v>Not rated</v>
      </c>
      <c r="C625" s="403" t="e">
        <f t="array" ref="C625">IF(DATEVALUE([1]!tbl_survey[Date of inspection])&gt;DATEVALUE(B621),_xlfn.XLOOKUP(tbl_cleaning[[#This Row],[Scheme/Estate]],[1]!tbl_survey[Scheme Name],[1]!tbl_survey[Internal],"Not rated"),"Not rated")</f>
        <v>#VALUE!</v>
      </c>
      <c r="D625" s="432" t="s">
        <v>1373</v>
      </c>
      <c r="E625" s="154" t="s">
        <v>58</v>
      </c>
    </row>
    <row r="626" spans="1:5" ht="15" customHeight="1" x14ac:dyDescent="0.25">
      <c r="A626" s="464" t="s">
        <v>915</v>
      </c>
      <c r="B626" s="403" t="str">
        <f>_xlfn.XLOOKUP(tbl_cleaning[[#This Row],[Scheme/Estate]],[1]!tbl_survey[Scheme Name],[1]!tbl_survey[Internal],"Not rated")</f>
        <v>Not rated</v>
      </c>
      <c r="C626" s="403" t="e">
        <f t="array" ref="C626">IF(DATEVALUE([1]!tbl_survey[Date of inspection])&gt;DATEVALUE(B622),_xlfn.XLOOKUP(tbl_cleaning[[#This Row],[Scheme/Estate]],[1]!tbl_survey[Scheme Name],[1]!tbl_survey[Internal],"Not rated"),"Not rated")</f>
        <v>#VALUE!</v>
      </c>
      <c r="D626" s="432" t="s">
        <v>1377</v>
      </c>
      <c r="E626" s="154" t="s">
        <v>93</v>
      </c>
    </row>
    <row r="627" spans="1:5" ht="15" customHeight="1" x14ac:dyDescent="0.25">
      <c r="A627" s="495" t="s">
        <v>916</v>
      </c>
      <c r="B627" s="403" t="str">
        <f>_xlfn.XLOOKUP(tbl_cleaning[[#This Row],[Scheme/Estate]],[1]!tbl_survey[Scheme Name],[1]!tbl_survey[Internal],"Not rated")</f>
        <v>Not rated</v>
      </c>
      <c r="C627" s="403" t="e">
        <f t="array" ref="C627">IF(DATEVALUE([1]!tbl_survey[Date of inspection])&gt;DATEVALUE(B623),_xlfn.XLOOKUP(tbl_cleaning[[#This Row],[Scheme/Estate]],[1]!tbl_survey[Scheme Name],[1]!tbl_survey[Internal],"Not rated"),"Not rated")</f>
        <v>#VALUE!</v>
      </c>
      <c r="D627" s="440" t="s">
        <v>1369</v>
      </c>
      <c r="E627" s="449" t="s">
        <v>58</v>
      </c>
    </row>
    <row r="628" spans="1:5" ht="15" customHeight="1" x14ac:dyDescent="0.25">
      <c r="A628" s="462" t="s">
        <v>918</v>
      </c>
      <c r="B628" s="403" t="str">
        <f>_xlfn.XLOOKUP(tbl_cleaning[[#This Row],[Scheme/Estate]],[1]!tbl_survey[Scheme Name],[1]!tbl_survey[Internal],"Not rated")</f>
        <v>Not rated</v>
      </c>
      <c r="C628" s="403" t="e">
        <f t="array" ref="C628">IF(DATEVALUE([1]!tbl_survey[Date of inspection])&gt;DATEVALUE(B624),_xlfn.XLOOKUP(tbl_cleaning[[#This Row],[Scheme/Estate]],[1]!tbl_survey[Scheme Name],[1]!tbl_survey[Internal],"Not rated"),"Not rated")</f>
        <v>#VALUE!</v>
      </c>
      <c r="D628" s="432" t="s">
        <v>1369</v>
      </c>
      <c r="E628" s="154" t="s">
        <v>58</v>
      </c>
    </row>
    <row r="629" spans="1:5" s="42" customFormat="1" ht="15" customHeight="1" x14ac:dyDescent="0.25">
      <c r="A629" s="463" t="s">
        <v>919</v>
      </c>
      <c r="B629" s="403" t="str">
        <f>_xlfn.XLOOKUP(tbl_cleaning[[#This Row],[Scheme/Estate]],[1]!tbl_survey[Scheme Name],[1]!tbl_survey[Internal],"Not rated")</f>
        <v>Not rated</v>
      </c>
      <c r="C629" s="403" t="e">
        <f t="array" ref="C629">IF(DATEVALUE([1]!tbl_survey[Date of inspection])&gt;DATEVALUE(B625),_xlfn.XLOOKUP(tbl_cleaning[[#This Row],[Scheme/Estate]],[1]!tbl_survey[Scheme Name],[1]!tbl_survey[Internal],"Not rated"),"Not rated")</f>
        <v>#VALUE!</v>
      </c>
      <c r="D629" s="432" t="s">
        <v>1370</v>
      </c>
      <c r="E629" s="154" t="s">
        <v>93</v>
      </c>
    </row>
    <row r="630" spans="1:5" s="42" customFormat="1" ht="15" customHeight="1" x14ac:dyDescent="0.25">
      <c r="A630" s="462" t="s">
        <v>920</v>
      </c>
      <c r="B630" s="403">
        <f>_xlfn.XLOOKUP(tbl_cleaning[[#This Row],[Scheme/Estate]],[1]!tbl_survey[Scheme Name],[1]!tbl_survey[Internal],"Not rated")</f>
        <v>3</v>
      </c>
      <c r="C630" s="403" t="e">
        <f t="array" ref="C630">IF(DATEVALUE([1]!tbl_survey[Date of inspection])&gt;DATEVALUE(B626),_xlfn.XLOOKUP(tbl_cleaning[[#This Row],[Scheme/Estate]],[1]!tbl_survey[Scheme Name],[1]!tbl_survey[Internal],"Not rated"),"Not rated")</f>
        <v>#VALUE!</v>
      </c>
      <c r="D630" s="432" t="s">
        <v>1388</v>
      </c>
      <c r="E630" s="154" t="s">
        <v>93</v>
      </c>
    </row>
    <row r="631" spans="1:5" ht="15" customHeight="1" x14ac:dyDescent="0.25">
      <c r="A631" s="462" t="s">
        <v>1421</v>
      </c>
      <c r="B631" s="403" t="str">
        <f>_xlfn.XLOOKUP(tbl_cleaning[[#This Row],[Scheme/Estate]],[1]!tbl_survey[Scheme Name],[1]!tbl_survey[Internal],"Not rated")</f>
        <v>Not rated</v>
      </c>
      <c r="C631" s="403" t="e">
        <f t="array" ref="C631">IF(DATEVALUE([1]!tbl_survey[Date of inspection])&gt;DATEVALUE(B627),_xlfn.XLOOKUP(tbl_cleaning[[#This Row],[Scheme/Estate]],[1]!tbl_survey[Scheme Name],[1]!tbl_survey[Internal],"Not rated"),"Not rated")</f>
        <v>#VALUE!</v>
      </c>
      <c r="D631" s="432" t="s">
        <v>1381</v>
      </c>
      <c r="E631" s="154" t="s">
        <v>60</v>
      </c>
    </row>
    <row r="632" spans="1:5" ht="15" customHeight="1" x14ac:dyDescent="0.25">
      <c r="A632" s="462" t="s">
        <v>1442</v>
      </c>
      <c r="B632" s="403" t="str">
        <f>_xlfn.XLOOKUP(tbl_cleaning[[#This Row],[Scheme/Estate]],[1]!tbl_survey[Scheme Name],[1]!tbl_survey[Internal],"Not rated")</f>
        <v>Not rated</v>
      </c>
      <c r="C632" s="403" t="e">
        <f t="array" ref="C632">IF(DATEVALUE([1]!tbl_survey[Date of inspection])&gt;DATEVALUE(B628),_xlfn.XLOOKUP(tbl_cleaning[[#This Row],[Scheme/Estate]],[1]!tbl_survey[Scheme Name],[1]!tbl_survey[Internal],"Not rated"),"Not rated")</f>
        <v>#VALUE!</v>
      </c>
      <c r="D632" s="436" t="s">
        <v>1381</v>
      </c>
      <c r="E632" s="154" t="s">
        <v>361</v>
      </c>
    </row>
    <row r="633" spans="1:5" ht="15" customHeight="1" x14ac:dyDescent="0.25">
      <c r="A633" s="495" t="s">
        <v>1444</v>
      </c>
      <c r="B633" s="403" t="str">
        <f>_xlfn.XLOOKUP(tbl_cleaning[[#This Row],[Scheme/Estate]],[1]!tbl_survey[Scheme Name],[1]!tbl_survey[Internal],"Not rated")</f>
        <v>Not rated</v>
      </c>
      <c r="C633" s="403" t="e">
        <f t="array" ref="C633">IF(DATEVALUE([1]!tbl_survey[Date of inspection])&gt;DATEVALUE(B629),_xlfn.XLOOKUP(tbl_cleaning[[#This Row],[Scheme/Estate]],[1]!tbl_survey[Scheme Name],[1]!tbl_survey[Internal],"Not rated"),"Not rated")</f>
        <v>#VALUE!</v>
      </c>
      <c r="D633" s="440" t="s">
        <v>1381</v>
      </c>
      <c r="E633" s="394" t="s">
        <v>60</v>
      </c>
    </row>
    <row r="634" spans="1:5" ht="15" customHeight="1" x14ac:dyDescent="0.25">
      <c r="A634" s="462" t="s">
        <v>1443</v>
      </c>
      <c r="B634" s="403" t="str">
        <f>_xlfn.XLOOKUP(tbl_cleaning[[#This Row],[Scheme/Estate]],[1]!tbl_survey[Scheme Name],[1]!tbl_survey[Internal],"Not rated")</f>
        <v>Not rated</v>
      </c>
      <c r="C634" s="403" t="e">
        <f t="array" ref="C634">IF(DATEVALUE([1]!tbl_survey[Date of inspection])&gt;DATEVALUE(B630),_xlfn.XLOOKUP(tbl_cleaning[[#This Row],[Scheme/Estate]],[1]!tbl_survey[Scheme Name],[1]!tbl_survey[Internal],"Not rated"),"Not rated")</f>
        <v>#VALUE!</v>
      </c>
      <c r="D634" s="432" t="s">
        <v>1381</v>
      </c>
      <c r="E634" s="154" t="s">
        <v>60</v>
      </c>
    </row>
    <row r="635" spans="1:5" ht="15" customHeight="1" x14ac:dyDescent="0.25">
      <c r="A635" s="462" t="s">
        <v>923</v>
      </c>
      <c r="B635" s="403" t="str">
        <f>_xlfn.XLOOKUP(tbl_cleaning[[#This Row],[Scheme/Estate]],[1]!tbl_survey[Scheme Name],[1]!tbl_survey[Internal],"Not rated")</f>
        <v>Not rated</v>
      </c>
      <c r="C635" s="403" t="e">
        <f t="array" ref="C635">IF(DATEVALUE([1]!tbl_survey[Date of inspection])&gt;DATEVALUE(B631),_xlfn.XLOOKUP(tbl_cleaning[[#This Row],[Scheme/Estate]],[1]!tbl_survey[Scheme Name],[1]!tbl_survey[Internal],"Not rated"),"Not rated")</f>
        <v>#VALUE!</v>
      </c>
      <c r="D635" s="432" t="s">
        <v>1378</v>
      </c>
      <c r="E635" s="443" t="s">
        <v>87</v>
      </c>
    </row>
    <row r="636" spans="1:5" ht="15" customHeight="1" x14ac:dyDescent="0.25">
      <c r="A636" s="496" t="s">
        <v>924</v>
      </c>
      <c r="B636" s="403" t="str">
        <f>_xlfn.XLOOKUP(tbl_cleaning[[#This Row],[Scheme/Estate]],[1]!tbl_survey[Scheme Name],[1]!tbl_survey[Internal],"Not rated")</f>
        <v>Not rated</v>
      </c>
      <c r="C636" s="403" t="e">
        <f t="array" ref="C636">IF(DATEVALUE([1]!tbl_survey[Date of inspection])&gt;DATEVALUE(B632),_xlfn.XLOOKUP(tbl_cleaning[[#This Row],[Scheme/Estate]],[1]!tbl_survey[Scheme Name],[1]!tbl_survey[Internal],"Not rated"),"Not rated")</f>
        <v>#VALUE!</v>
      </c>
      <c r="D636" s="441" t="s">
        <v>1373</v>
      </c>
      <c r="E636" s="449" t="s">
        <v>58</v>
      </c>
    </row>
    <row r="637" spans="1:5" ht="15" customHeight="1" x14ac:dyDescent="0.25">
      <c r="A637" s="497" t="s">
        <v>925</v>
      </c>
      <c r="B637" s="403" t="str">
        <f>_xlfn.XLOOKUP(tbl_cleaning[[#This Row],[Scheme/Estate]],[1]!tbl_survey[Scheme Name],[1]!tbl_survey[Internal],"Not rated")</f>
        <v>Not rated</v>
      </c>
      <c r="C637" s="403" t="e">
        <f t="array" ref="C637">IF(DATEVALUE([1]!tbl_survey[Date of inspection])&gt;DATEVALUE(B633),_xlfn.XLOOKUP(tbl_cleaning[[#This Row],[Scheme/Estate]],[1]!tbl_survey[Scheme Name],[1]!tbl_survey[Internal],"Not rated"),"Not rated")</f>
        <v>#VALUE!</v>
      </c>
      <c r="D637" s="432" t="s">
        <v>1366</v>
      </c>
      <c r="E637" s="446" t="s">
        <v>87</v>
      </c>
    </row>
    <row r="638" spans="1:5" ht="15" customHeight="1" x14ac:dyDescent="0.25">
      <c r="A638" s="498" t="s">
        <v>926</v>
      </c>
      <c r="B638" s="403" t="str">
        <f>_xlfn.XLOOKUP(tbl_cleaning[[#This Row],[Scheme/Estate]],[1]!tbl_survey[Scheme Name],[1]!tbl_survey[Internal],"Not rated")</f>
        <v>Not rated</v>
      </c>
      <c r="C638" s="403" t="e">
        <f t="array" ref="C638">IF(DATEVALUE([1]!tbl_survey[Date of inspection])&gt;DATEVALUE(B634),_xlfn.XLOOKUP(tbl_cleaning[[#This Row],[Scheme/Estate]],[1]!tbl_survey[Scheme Name],[1]!tbl_survey[Internal],"Not rated"),"Not rated")</f>
        <v>#VALUE!</v>
      </c>
      <c r="D638" s="439" t="s">
        <v>1365</v>
      </c>
      <c r="E638" s="452" t="s">
        <v>87</v>
      </c>
    </row>
    <row r="639" spans="1:5" ht="15" customHeight="1" x14ac:dyDescent="0.25">
      <c r="A639" s="467" t="s">
        <v>1071</v>
      </c>
      <c r="B639" s="403" t="str">
        <f>_xlfn.XLOOKUP(tbl_cleaning[[#This Row],[Scheme/Estate]],[1]!tbl_survey[Scheme Name],[1]!tbl_survey[Internal],"Not rated")</f>
        <v>Not rated</v>
      </c>
      <c r="C639" s="403" t="e">
        <f t="array" ref="C639">IF(DATEVALUE([1]!tbl_survey[Date of inspection])&gt;DATEVALUE(B635),_xlfn.XLOOKUP(tbl_cleaning[[#This Row],[Scheme/Estate]],[1]!tbl_survey[Scheme Name],[1]!tbl_survey[Internal],"Not rated"),"Not rated")</f>
        <v>#VALUE!</v>
      </c>
      <c r="D639" s="432" t="s">
        <v>1376</v>
      </c>
      <c r="E639" s="154" t="s">
        <v>60</v>
      </c>
    </row>
    <row r="640" spans="1:5" ht="15" customHeight="1" x14ac:dyDescent="0.25">
      <c r="A640" s="499" t="s">
        <v>1397</v>
      </c>
      <c r="B640" s="403" t="str">
        <f>_xlfn.XLOOKUP(tbl_cleaning[[#This Row],[Scheme/Estate]],[1]!tbl_survey[Scheme Name],[1]!tbl_survey[Internal],"Not rated")</f>
        <v>Not rated</v>
      </c>
      <c r="C640" s="403" t="e">
        <f t="array" ref="C640">IF(DATEVALUE([1]!tbl_survey[Date of inspection])&gt;DATEVALUE(B636),_xlfn.XLOOKUP(tbl_cleaning[[#This Row],[Scheme/Estate]],[1]!tbl_survey[Scheme Name],[1]!tbl_survey[Internal],"Not rated"),"Not rated")</f>
        <v>#VALUE!</v>
      </c>
      <c r="D640" s="434" t="s">
        <v>1381</v>
      </c>
      <c r="E640" s="443" t="s">
        <v>361</v>
      </c>
    </row>
    <row r="641" spans="1:5" ht="15" customHeight="1" x14ac:dyDescent="0.25">
      <c r="A641" s="495" t="s">
        <v>927</v>
      </c>
      <c r="B641" s="403" t="str">
        <f>_xlfn.XLOOKUP(tbl_cleaning[[#This Row],[Scheme/Estate]],[1]!tbl_survey[Scheme Name],[1]!tbl_survey[Internal],"Not rated")</f>
        <v>Not rated</v>
      </c>
      <c r="C641" s="403" t="e">
        <f t="array" ref="C641">IF(DATEVALUE([1]!tbl_survey[Date of inspection])&gt;DATEVALUE(B637),_xlfn.XLOOKUP(tbl_cleaning[[#This Row],[Scheme/Estate]],[1]!tbl_survey[Scheme Name],[1]!tbl_survey[Internal],"Not rated"),"Not rated")</f>
        <v>#VALUE!</v>
      </c>
      <c r="D641" s="440" t="s">
        <v>1368</v>
      </c>
      <c r="E641" s="449" t="s">
        <v>60</v>
      </c>
    </row>
    <row r="642" spans="1:5" ht="15" customHeight="1" x14ac:dyDescent="0.25">
      <c r="A642" s="490" t="s">
        <v>1427</v>
      </c>
      <c r="B642" s="403" t="str">
        <f>_xlfn.XLOOKUP(tbl_cleaning[[#This Row],[Scheme/Estate]],[1]!tbl_survey[Scheme Name],[1]!tbl_survey[Internal],"Not rated")</f>
        <v>Not rated</v>
      </c>
      <c r="C642" s="403" t="e">
        <f t="array" ref="C642">IF(DATEVALUE([1]!tbl_survey[Date of inspection])&gt;DATEVALUE(B638),_xlfn.XLOOKUP(tbl_cleaning[[#This Row],[Scheme/Estate]],[1]!tbl_survey[Scheme Name],[1]!tbl_survey[Internal],"Not rated"),"Not rated")</f>
        <v>#VALUE!</v>
      </c>
      <c r="D642" s="432" t="s">
        <v>1371</v>
      </c>
      <c r="E642" s="154" t="s">
        <v>58</v>
      </c>
    </row>
    <row r="643" spans="1:5" ht="15" customHeight="1" x14ac:dyDescent="0.25">
      <c r="A643" s="462" t="s">
        <v>928</v>
      </c>
      <c r="B643" s="403" t="str">
        <f>_xlfn.XLOOKUP(tbl_cleaning[[#This Row],[Scheme/Estate]],[1]!tbl_survey[Scheme Name],[1]!tbl_survey[Internal],"Not rated")</f>
        <v>Not rated</v>
      </c>
      <c r="C643" s="403" t="e">
        <f t="array" ref="C643">IF(DATEVALUE([1]!tbl_survey[Date of inspection])&gt;DATEVALUE(B639),_xlfn.XLOOKUP(tbl_cleaning[[#This Row],[Scheme/Estate]],[1]!tbl_survey[Scheme Name],[1]!tbl_survey[Internal],"Not rated"),"Not rated")</f>
        <v>#VALUE!</v>
      </c>
      <c r="D643" s="432" t="s">
        <v>1380</v>
      </c>
      <c r="E643" s="154" t="s">
        <v>60</v>
      </c>
    </row>
    <row r="644" spans="1:5" ht="15" customHeight="1" x14ac:dyDescent="0.25">
      <c r="A644" s="500" t="s">
        <v>930</v>
      </c>
      <c r="B644" s="403" t="str">
        <f>_xlfn.XLOOKUP(tbl_cleaning[[#This Row],[Scheme/Estate]],[1]!tbl_survey[Scheme Name],[1]!tbl_survey[Internal],"Not rated")</f>
        <v>Not rated</v>
      </c>
      <c r="C644" s="403" t="e">
        <f t="array" ref="C644">IF(DATEVALUE([1]!tbl_survey[Date of inspection])&gt;DATEVALUE(B640),_xlfn.XLOOKUP(tbl_cleaning[[#This Row],[Scheme/Estate]],[1]!tbl_survey[Scheme Name],[1]!tbl_survey[Internal],"Not rated"),"Not rated")</f>
        <v>#VALUE!</v>
      </c>
      <c r="D644" s="442" t="s">
        <v>1379</v>
      </c>
      <c r="E644" s="449" t="s">
        <v>58</v>
      </c>
    </row>
    <row r="645" spans="1:5" ht="15" customHeight="1" x14ac:dyDescent="0.25">
      <c r="A645" s="462" t="s">
        <v>931</v>
      </c>
      <c r="B645" s="403" t="str">
        <f>_xlfn.XLOOKUP(tbl_cleaning[[#This Row],[Scheme/Estate]],[1]!tbl_survey[Scheme Name],[1]!tbl_survey[Internal],"Not rated")</f>
        <v>Not rated</v>
      </c>
      <c r="C645" s="403" t="e">
        <f t="array" ref="C645">IF(DATEVALUE([1]!tbl_survey[Date of inspection])&gt;DATEVALUE(B641),_xlfn.XLOOKUP(tbl_cleaning[[#This Row],[Scheme/Estate]],[1]!tbl_survey[Scheme Name],[1]!tbl_survey[Internal],"Not rated"),"Not rated")</f>
        <v>#VALUE!</v>
      </c>
      <c r="D645" s="432" t="s">
        <v>1373</v>
      </c>
      <c r="E645" s="154" t="s">
        <v>58</v>
      </c>
    </row>
    <row r="646" spans="1:5" ht="15" customHeight="1" x14ac:dyDescent="0.25">
      <c r="A646" s="501" t="s">
        <v>932</v>
      </c>
      <c r="B646" s="403" t="str">
        <f>_xlfn.XLOOKUP(tbl_cleaning[[#This Row],[Scheme/Estate]],[1]!tbl_survey[Scheme Name],[1]!tbl_survey[Internal],"Not rated")</f>
        <v>Not rated</v>
      </c>
      <c r="C646" s="403" t="e">
        <f t="array" ref="C646">IF(DATEVALUE([1]!tbl_survey[Date of inspection])&gt;DATEVALUE(B642),_xlfn.XLOOKUP(tbl_cleaning[[#This Row],[Scheme/Estate]],[1]!tbl_survey[Scheme Name],[1]!tbl_survey[Internal],"Not rated"),"Not rated")</f>
        <v>#VALUE!</v>
      </c>
      <c r="D646" s="440" t="s">
        <v>1363</v>
      </c>
      <c r="E646" s="449" t="s">
        <v>58</v>
      </c>
    </row>
    <row r="647" spans="1:5" ht="15" customHeight="1" x14ac:dyDescent="0.25">
      <c r="A647" s="463" t="s">
        <v>934</v>
      </c>
      <c r="B647" s="403" t="str">
        <f>_xlfn.XLOOKUP(tbl_cleaning[[#This Row],[Scheme/Estate]],[1]!tbl_survey[Scheme Name],[1]!tbl_survey[Internal],"Not rated")</f>
        <v>Not rated</v>
      </c>
      <c r="C647" s="403" t="e">
        <f t="array" ref="C647">IF(DATEVALUE([1]!tbl_survey[Date of inspection])&gt;DATEVALUE(B643),_xlfn.XLOOKUP(tbl_cleaning[[#This Row],[Scheme/Estate]],[1]!tbl_survey[Scheme Name],[1]!tbl_survey[Internal],"Not rated"),"Not rated")</f>
        <v>#VALUE!</v>
      </c>
      <c r="D647" s="432" t="s">
        <v>1376</v>
      </c>
      <c r="E647" s="443" t="s">
        <v>60</v>
      </c>
    </row>
    <row r="648" spans="1:5" ht="15" customHeight="1" x14ac:dyDescent="0.25">
      <c r="A648" s="483" t="s">
        <v>1391</v>
      </c>
      <c r="B648" s="403" t="str">
        <f>_xlfn.XLOOKUP(tbl_cleaning[[#This Row],[Scheme/Estate]],[1]!tbl_survey[Scheme Name],[1]!tbl_survey[Internal],"Not rated")</f>
        <v>Not rated</v>
      </c>
      <c r="C648" s="403" t="e">
        <f t="array" ref="C648">IF(DATEVALUE([1]!tbl_survey[Date of inspection])&gt;DATEVALUE(B644),_xlfn.XLOOKUP(tbl_cleaning[[#This Row],[Scheme/Estate]],[1]!tbl_survey[Scheme Name],[1]!tbl_survey[Internal],"Not rated"),"Not rated")</f>
        <v>#VALUE!</v>
      </c>
      <c r="D648" s="437" t="s">
        <v>1389</v>
      </c>
      <c r="E648" s="444" t="s">
        <v>87</v>
      </c>
    </row>
    <row r="649" spans="1:5" ht="15" customHeight="1" x14ac:dyDescent="0.25">
      <c r="A649" s="467" t="s">
        <v>938</v>
      </c>
      <c r="B649" s="403" t="str">
        <f>_xlfn.XLOOKUP(tbl_cleaning[[#This Row],[Scheme/Estate]],[1]!tbl_survey[Scheme Name],[1]!tbl_survey[Internal],"Not rated")</f>
        <v>Not rated</v>
      </c>
      <c r="C649" s="403" t="e">
        <f t="array" ref="C649">IF(DATEVALUE([1]!tbl_survey[Date of inspection])&gt;DATEVALUE(B645),_xlfn.XLOOKUP(tbl_cleaning[[#This Row],[Scheme/Estate]],[1]!tbl_survey[Scheme Name],[1]!tbl_survey[Internal],"Not rated"),"Not rated")</f>
        <v>#VALUE!</v>
      </c>
      <c r="D649" s="432" t="s">
        <v>1364</v>
      </c>
      <c r="E649" s="154" t="s">
        <v>60</v>
      </c>
    </row>
    <row r="650" spans="1:5" ht="15" customHeight="1" x14ac:dyDescent="0.25">
      <c r="A650" s="495" t="s">
        <v>1422</v>
      </c>
      <c r="B650" s="403" t="str">
        <f>_xlfn.XLOOKUP(tbl_cleaning[[#This Row],[Scheme/Estate]],[1]!tbl_survey[Scheme Name],[1]!tbl_survey[Internal],"Not rated")</f>
        <v>Not rated</v>
      </c>
      <c r="C650" s="403" t="e">
        <f t="array" ref="C650">IF(DATEVALUE([1]!tbl_survey[Date of inspection])&gt;DATEVALUE(B646),_xlfn.XLOOKUP(tbl_cleaning[[#This Row],[Scheme/Estate]],[1]!tbl_survey[Scheme Name],[1]!tbl_survey[Internal],"Not rated"),"Not rated")</f>
        <v>#VALUE!</v>
      </c>
      <c r="D650" s="440" t="s">
        <v>1383</v>
      </c>
      <c r="E650" s="455" t="s">
        <v>87</v>
      </c>
    </row>
    <row r="651" spans="1:5" s="397" customFormat="1" ht="15" customHeight="1" x14ac:dyDescent="0.25">
      <c r="A651" s="463" t="s">
        <v>940</v>
      </c>
      <c r="B651" s="403" t="str">
        <f>_xlfn.XLOOKUP(tbl_cleaning[[#This Row],[Scheme/Estate]],[1]!tbl_survey[Scheme Name],[1]!tbl_survey[Internal],"Not rated")</f>
        <v>Not rated</v>
      </c>
      <c r="C651" s="403" t="e">
        <f t="array" ref="C651">IF(DATEVALUE([1]!tbl_survey[Date of inspection])&gt;DATEVALUE(B647),_xlfn.XLOOKUP(tbl_cleaning[[#This Row],[Scheme/Estate]],[1]!tbl_survey[Scheme Name],[1]!tbl_survey[Internal],"Not rated"),"Not rated")</f>
        <v>#VALUE!</v>
      </c>
      <c r="D651" s="432" t="s">
        <v>1377</v>
      </c>
      <c r="E651" s="154" t="s">
        <v>93</v>
      </c>
    </row>
    <row r="652" spans="1:5" ht="15" customHeight="1" x14ac:dyDescent="0.25">
      <c r="A652" s="471" t="s">
        <v>941</v>
      </c>
      <c r="B652" s="403" t="str">
        <f>_xlfn.XLOOKUP(tbl_cleaning[[#This Row],[Scheme/Estate]],[1]!tbl_survey[Scheme Name],[1]!tbl_survey[Internal],"Not rated")</f>
        <v>Not rated</v>
      </c>
      <c r="C652" s="403" t="e">
        <f t="array" ref="C652">IF(DATEVALUE([1]!tbl_survey[Date of inspection])&gt;DATEVALUE(B648),_xlfn.XLOOKUP(tbl_cleaning[[#This Row],[Scheme/Estate]],[1]!tbl_survey[Scheme Name],[1]!tbl_survey[Internal],"Not rated"),"Not rated")</f>
        <v>#VALUE!</v>
      </c>
      <c r="D652" s="432" t="s">
        <v>1365</v>
      </c>
      <c r="E652" s="443" t="s">
        <v>87</v>
      </c>
    </row>
    <row r="653" spans="1:5" ht="15" customHeight="1" x14ac:dyDescent="0.25">
      <c r="A653" s="463" t="s">
        <v>942</v>
      </c>
      <c r="B653" s="403" t="str">
        <f>_xlfn.XLOOKUP(tbl_cleaning[[#This Row],[Scheme/Estate]],[1]!tbl_survey[Scheme Name],[1]!tbl_survey[Internal],"Not rated")</f>
        <v>Not rated</v>
      </c>
      <c r="C653" s="403" t="e">
        <f t="array" ref="C653">IF(DATEVALUE([1]!tbl_survey[Date of inspection])&gt;DATEVALUE(B649),_xlfn.XLOOKUP(tbl_cleaning[[#This Row],[Scheme/Estate]],[1]!tbl_survey[Scheme Name],[1]!tbl_survey[Internal],"Not rated"),"Not rated")</f>
        <v>#VALUE!</v>
      </c>
      <c r="D653" s="432" t="s">
        <v>1370</v>
      </c>
      <c r="E653" s="154" t="s">
        <v>93</v>
      </c>
    </row>
    <row r="654" spans="1:5" ht="15" customHeight="1" x14ac:dyDescent="0.25">
      <c r="A654" s="465" t="s">
        <v>944</v>
      </c>
      <c r="B654" s="403" t="str">
        <f>_xlfn.XLOOKUP(tbl_cleaning[[#This Row],[Scheme/Estate]],[1]!tbl_survey[Scheme Name],[1]!tbl_survey[Internal],"Not rated")</f>
        <v>Not rated</v>
      </c>
      <c r="C654" s="403" t="e">
        <f t="array" ref="C654">IF(DATEVALUE([1]!tbl_survey[Date of inspection])&gt;DATEVALUE(B650),_xlfn.XLOOKUP(tbl_cleaning[[#This Row],[Scheme/Estate]],[1]!tbl_survey[Scheme Name],[1]!tbl_survey[Internal],"Not rated"),"Not rated")</f>
        <v>#VALUE!</v>
      </c>
      <c r="D654" s="432" t="s">
        <v>1381</v>
      </c>
      <c r="E654" s="154" t="s">
        <v>60</v>
      </c>
    </row>
    <row r="655" spans="1:5" ht="15" customHeight="1" x14ac:dyDescent="0.25">
      <c r="A655" s="463" t="s">
        <v>945</v>
      </c>
      <c r="B655" s="403" t="str">
        <f>_xlfn.XLOOKUP(tbl_cleaning[[#This Row],[Scheme/Estate]],[1]!tbl_survey[Scheme Name],[1]!tbl_survey[Internal],"Not rated")</f>
        <v>Not rated</v>
      </c>
      <c r="C655" s="403" t="e">
        <f t="array" ref="C655">IF(DATEVALUE([1]!tbl_survey[Date of inspection])&gt;DATEVALUE(B651),_xlfn.XLOOKUP(tbl_cleaning[[#This Row],[Scheme/Estate]],[1]!tbl_survey[Scheme Name],[1]!tbl_survey[Internal],"Not rated"),"Not rated")</f>
        <v>#VALUE!</v>
      </c>
      <c r="D655" s="432" t="s">
        <v>1383</v>
      </c>
      <c r="E655" s="154" t="s">
        <v>87</v>
      </c>
    </row>
    <row r="656" spans="1:5" ht="15" customHeight="1" x14ac:dyDescent="0.25">
      <c r="A656" s="463" t="s">
        <v>947</v>
      </c>
      <c r="B656" s="403" t="str">
        <f>_xlfn.XLOOKUP(tbl_cleaning[[#This Row],[Scheme/Estate]],[1]!tbl_survey[Scheme Name],[1]!tbl_survey[Internal],"Not rated")</f>
        <v>Not rated</v>
      </c>
      <c r="C656" s="403" t="e">
        <f t="array" ref="C656">IF(DATEVALUE([1]!tbl_survey[Date of inspection])&gt;DATEVALUE(B652),_xlfn.XLOOKUP(tbl_cleaning[[#This Row],[Scheme/Estate]],[1]!tbl_survey[Scheme Name],[1]!tbl_survey[Internal],"Not rated"),"Not rated")</f>
        <v>#VALUE!</v>
      </c>
      <c r="D656" s="432" t="s">
        <v>1383</v>
      </c>
      <c r="E656" s="154" t="s">
        <v>87</v>
      </c>
    </row>
    <row r="657" spans="1:5" ht="15" customHeight="1" x14ac:dyDescent="0.25">
      <c r="A657" s="501" t="s">
        <v>949</v>
      </c>
      <c r="B657" s="403" t="str">
        <f>_xlfn.XLOOKUP(tbl_cleaning[[#This Row],[Scheme/Estate]],[1]!tbl_survey[Scheme Name],[1]!tbl_survey[Internal],"Not rated")</f>
        <v>Not rated</v>
      </c>
      <c r="C657" s="403" t="e">
        <f t="array" ref="C657">IF(DATEVALUE([1]!tbl_survey[Date of inspection])&gt;DATEVALUE(B653),_xlfn.XLOOKUP(tbl_cleaning[[#This Row],[Scheme/Estate]],[1]!tbl_survey[Scheme Name],[1]!tbl_survey[Internal],"Not rated"),"Not rated")</f>
        <v>#VALUE!</v>
      </c>
      <c r="D657" s="440" t="s">
        <v>1379</v>
      </c>
      <c r="E657" s="449" t="s">
        <v>58</v>
      </c>
    </row>
    <row r="658" spans="1:5" ht="15" customHeight="1" x14ac:dyDescent="0.25">
      <c r="A658" s="462" t="s">
        <v>950</v>
      </c>
      <c r="B658" s="403" t="str">
        <f>_xlfn.XLOOKUP(tbl_cleaning[[#This Row],[Scheme/Estate]],[1]!tbl_survey[Scheme Name],[1]!tbl_survey[Internal],"Not rated")</f>
        <v>Not rated</v>
      </c>
      <c r="C658" s="403" t="e">
        <f t="array" ref="C658">IF(DATEVALUE([1]!tbl_survey[Date of inspection])&gt;DATEVALUE(B654),_xlfn.XLOOKUP(tbl_cleaning[[#This Row],[Scheme/Estate]],[1]!tbl_survey[Scheme Name],[1]!tbl_survey[Internal],"Not rated"),"Not rated")</f>
        <v>#VALUE!</v>
      </c>
      <c r="D658" s="432" t="s">
        <v>1372</v>
      </c>
      <c r="E658" s="154" t="s">
        <v>60</v>
      </c>
    </row>
    <row r="659" spans="1:5" ht="15" customHeight="1" x14ac:dyDescent="0.25">
      <c r="A659" s="470" t="s">
        <v>951</v>
      </c>
      <c r="B659" s="403" t="str">
        <f>_xlfn.XLOOKUP(tbl_cleaning[[#This Row],[Scheme/Estate]],[1]!tbl_survey[Scheme Name],[1]!tbl_survey[Internal],"Not rated")</f>
        <v>Not rated</v>
      </c>
      <c r="C659" s="403" t="e">
        <f t="array" ref="C659">IF(DATEVALUE([1]!tbl_survey[Date of inspection])&gt;DATEVALUE(B655),_xlfn.XLOOKUP(tbl_cleaning[[#This Row],[Scheme/Estate]],[1]!tbl_survey[Scheme Name],[1]!tbl_survey[Internal],"Not rated"),"Not rated")</f>
        <v>#VALUE!</v>
      </c>
      <c r="D659" s="441" t="s">
        <v>1372</v>
      </c>
      <c r="E659" s="450" t="s">
        <v>60</v>
      </c>
    </row>
    <row r="660" spans="1:5" ht="15" customHeight="1" x14ac:dyDescent="0.25">
      <c r="A660" s="465" t="s">
        <v>952</v>
      </c>
      <c r="B660" s="403" t="str">
        <f>_xlfn.XLOOKUP(tbl_cleaning[[#This Row],[Scheme/Estate]],[1]!tbl_survey[Scheme Name],[1]!tbl_survey[Internal],"Not rated")</f>
        <v>Not rated</v>
      </c>
      <c r="C660" s="403" t="e">
        <f t="array" ref="C660">IF(DATEVALUE([1]!tbl_survey[Date of inspection])&gt;DATEVALUE(B656),_xlfn.XLOOKUP(tbl_cleaning[[#This Row],[Scheme/Estate]],[1]!tbl_survey[Scheme Name],[1]!tbl_survey[Internal],"Not rated"),"Not rated")</f>
        <v>#VALUE!</v>
      </c>
      <c r="D660" s="439" t="s">
        <v>1372</v>
      </c>
      <c r="E660" s="446" t="s">
        <v>60</v>
      </c>
    </row>
    <row r="661" spans="1:5" ht="15" customHeight="1" x14ac:dyDescent="0.25">
      <c r="A661" s="396"/>
      <c r="B661" s="402"/>
      <c r="C661" s="402"/>
      <c r="D661" s="419"/>
      <c r="E661" s="393"/>
    </row>
    <row r="662" spans="1:5" ht="15" customHeight="1" x14ac:dyDescent="0.25">
      <c r="A662" s="184"/>
      <c r="B662" s="400"/>
      <c r="C662" s="400"/>
      <c r="D662" s="420"/>
      <c r="E662" s="383"/>
    </row>
    <row r="663" spans="1:5" ht="15" customHeight="1" x14ac:dyDescent="0.25">
      <c r="A663" s="184"/>
      <c r="B663" s="535" t="s">
        <v>1393</v>
      </c>
      <c r="C663" s="536"/>
      <c r="D663" s="416"/>
      <c r="E663" s="421"/>
    </row>
    <row r="664" spans="1:5" ht="15" customHeight="1" x14ac:dyDescent="0.25">
      <c r="A664" s="184"/>
      <c r="B664" s="165" t="s">
        <v>965</v>
      </c>
      <c r="C664" s="43" t="s">
        <v>966</v>
      </c>
      <c r="D664" s="401"/>
      <c r="E664" s="421"/>
    </row>
    <row r="665" spans="1:5" ht="15" customHeight="1" x14ac:dyDescent="0.25">
      <c r="B665" s="422">
        <f>COUNTIF(B6:B660,1)</f>
        <v>1</v>
      </c>
      <c r="C665" s="422">
        <f>COUNTIF(C6:C660,1)</f>
        <v>0</v>
      </c>
      <c r="D665" s="401"/>
      <c r="E665" s="421"/>
    </row>
    <row r="666" spans="1:5" ht="15" customHeight="1" x14ac:dyDescent="0.25">
      <c r="B666" s="422">
        <f>COUNTIF(B6:B660,2)</f>
        <v>0</v>
      </c>
      <c r="C666" s="423">
        <f>COUNTIF(C6:C660,2)</f>
        <v>0</v>
      </c>
      <c r="D666" s="401"/>
      <c r="E666" s="421"/>
    </row>
    <row r="667" spans="1:5" ht="15" customHeight="1" x14ac:dyDescent="0.25">
      <c r="B667" s="422">
        <f>COUNTIF(B6:B660,3)</f>
        <v>52</v>
      </c>
      <c r="C667" s="423">
        <f>COUNTIF(C6:C660,3)</f>
        <v>0</v>
      </c>
      <c r="D667" s="401"/>
      <c r="E667" s="421"/>
    </row>
    <row r="668" spans="1:5" ht="15" customHeight="1" x14ac:dyDescent="0.25">
      <c r="B668" s="422">
        <f>COUNTIF(B6:B660,4)</f>
        <v>12</v>
      </c>
      <c r="C668" s="423">
        <f>COUNTIF(C6:C660,4)</f>
        <v>0</v>
      </c>
      <c r="D668" s="401"/>
      <c r="E668" s="421"/>
    </row>
    <row r="669" spans="1:5" ht="15" customHeight="1" x14ac:dyDescent="0.25">
      <c r="B669" s="136">
        <f t="shared" ref="B669:C669" si="0">SUM(B665:B668,B671)</f>
        <v>65</v>
      </c>
      <c r="C669" s="33">
        <f t="shared" si="0"/>
        <v>0</v>
      </c>
      <c r="D669" s="401"/>
      <c r="E669" s="421"/>
    </row>
    <row r="670" spans="1:5" ht="15" customHeight="1" x14ac:dyDescent="0.25">
      <c r="A670" s="185" t="s">
        <v>1361</v>
      </c>
      <c r="B670" s="424">
        <f>COUNTIF(B6:B652,"NV")</f>
        <v>0</v>
      </c>
      <c r="C670" s="425">
        <f>COUNTIF(C6:C652,"NV")</f>
        <v>0</v>
      </c>
      <c r="D670" s="401"/>
      <c r="E670" s="421"/>
    </row>
    <row r="671" spans="1:5" ht="15" customHeight="1" x14ac:dyDescent="0.25">
      <c r="B671" s="424">
        <f>COUNTIF(B6:B660,#N/A)</f>
        <v>0</v>
      </c>
      <c r="C671" s="425">
        <f>COUNTIF(C6:C660,#N/A)</f>
        <v>0</v>
      </c>
      <c r="D671" s="401"/>
      <c r="E671" s="421"/>
    </row>
    <row r="672" spans="1:5" ht="15" customHeight="1" x14ac:dyDescent="0.25">
      <c r="B672" s="424">
        <f t="shared" ref="B672:C672" si="1">SUM(B665:B668)</f>
        <v>65</v>
      </c>
      <c r="C672" s="425">
        <f t="shared" si="1"/>
        <v>0</v>
      </c>
      <c r="D672" s="401"/>
      <c r="E672" s="421"/>
    </row>
    <row r="673" spans="2:5" ht="15" customHeight="1" x14ac:dyDescent="0.25">
      <c r="B673" s="426">
        <f t="shared" ref="B673:C673" si="2">((B667+B668)/B672)*100</f>
        <v>98.461538461538467</v>
      </c>
      <c r="C673" s="426" t="e">
        <f t="shared" si="2"/>
        <v>#DIV/0!</v>
      </c>
      <c r="D673" s="401"/>
      <c r="E673" s="421"/>
    </row>
    <row r="674" spans="2:5" ht="15" customHeight="1" x14ac:dyDescent="0.25">
      <c r="B674" s="427"/>
      <c r="C674" s="425"/>
      <c r="D674" s="401"/>
      <c r="E674" s="421"/>
    </row>
    <row r="675" spans="2:5" ht="15" customHeight="1" x14ac:dyDescent="0.25">
      <c r="B675" s="404"/>
      <c r="C675" s="404"/>
      <c r="D675" s="401"/>
      <c r="E675" s="421"/>
    </row>
    <row r="676" spans="2:5" ht="15" customHeight="1" x14ac:dyDescent="0.25">
      <c r="B676" s="531" t="s">
        <v>1393</v>
      </c>
      <c r="C676" s="532"/>
      <c r="D676" s="401"/>
      <c r="E676" s="421"/>
    </row>
    <row r="677" spans="2:5" ht="15" customHeight="1" x14ac:dyDescent="0.25">
      <c r="B677" s="165" t="s">
        <v>965</v>
      </c>
      <c r="C677" s="43" t="s">
        <v>966</v>
      </c>
      <c r="D677" s="401"/>
      <c r="E677" s="421"/>
    </row>
    <row r="678" spans="2:5" ht="15" customHeight="1" x14ac:dyDescent="0.25">
      <c r="B678" s="422" t="e">
        <f>COUNTIFS(B6:B660,1,#REF!,"Just Ask - Pat")</f>
        <v>#REF!</v>
      </c>
      <c r="C678" s="423" t="e">
        <f>COUNTIFS(C6:C660,1,#REF!,"Just Ask - Pat")</f>
        <v>#REF!</v>
      </c>
      <c r="D678" s="423"/>
      <c r="E678" s="421"/>
    </row>
    <row r="679" spans="2:5" ht="15" customHeight="1" x14ac:dyDescent="0.25">
      <c r="B679" s="422" t="e">
        <f>COUNTIFS(B6:B660,2,#REF!,"Just Ask - Pat")</f>
        <v>#REF!</v>
      </c>
      <c r="C679" s="423" t="e">
        <f>COUNTIFS(C6:C660,2,#REF!,"Just Ask - Pat")</f>
        <v>#REF!</v>
      </c>
      <c r="D679" s="423"/>
      <c r="E679" s="421"/>
    </row>
    <row r="680" spans="2:5" ht="15" customHeight="1" x14ac:dyDescent="0.25">
      <c r="B680" s="422" t="e">
        <f>COUNTIFS(B6:B660,3,#REF!,"Just Ask - Pat")</f>
        <v>#REF!</v>
      </c>
      <c r="C680" s="423" t="e">
        <f>COUNTIFS(C6:C660,3,#REF!,"Just Ask - Pat")</f>
        <v>#REF!</v>
      </c>
      <c r="D680" s="428"/>
      <c r="E680" s="421"/>
    </row>
    <row r="681" spans="2:5" ht="15" customHeight="1" x14ac:dyDescent="0.25">
      <c r="B681" s="422" t="e">
        <f>COUNTIFS(B6:B660,4,#REF!,"Just Ask - Pat")</f>
        <v>#REF!</v>
      </c>
      <c r="C681" s="423" t="e">
        <f>COUNTIFS(C6:C660,4,#REF!,"Just Ask - Pat")</f>
        <v>#REF!</v>
      </c>
      <c r="D681" s="401"/>
      <c r="E681" s="421" t="s">
        <v>977</v>
      </c>
    </row>
    <row r="682" spans="2:5" ht="15" customHeight="1" x14ac:dyDescent="0.25">
      <c r="B682" s="136" t="e">
        <f t="shared" ref="B682:C682" si="3">SUM(B678:B681,B684)</f>
        <v>#REF!</v>
      </c>
      <c r="C682" s="33" t="e">
        <f t="shared" si="3"/>
        <v>#REF!</v>
      </c>
      <c r="D682" s="390"/>
      <c r="E682" s="421"/>
    </row>
    <row r="683" spans="2:5" ht="15" customHeight="1" x14ac:dyDescent="0.25">
      <c r="B683" s="422" t="e">
        <f>COUNTIFS(B6:B660,"NV",#REF!,"Just Ask - Pat")</f>
        <v>#REF!</v>
      </c>
      <c r="C683" s="423" t="e">
        <f>COUNTIFS(C6:C660,"NV",#REF!,"Just Ask - Pat")</f>
        <v>#REF!</v>
      </c>
      <c r="D683" s="401"/>
      <c r="E683" s="421"/>
    </row>
    <row r="684" spans="2:5" ht="15" customHeight="1" x14ac:dyDescent="0.25">
      <c r="B684" s="422" t="e">
        <f>COUNTIFS(B6:B660,#N/A,#REF!,"Just Ask - Pat")</f>
        <v>#REF!</v>
      </c>
      <c r="C684" s="423" t="e">
        <f>COUNTIFS(C6:C660,#N/A,#REF!,"Just Ask - Pat")</f>
        <v>#REF!</v>
      </c>
      <c r="D684" s="401"/>
      <c r="E684" s="421"/>
    </row>
    <row r="685" spans="2:5" ht="15" customHeight="1" x14ac:dyDescent="0.25">
      <c r="B685" s="424" t="e">
        <f t="shared" ref="B685:C685" si="4">SUM(B678:B681)</f>
        <v>#REF!</v>
      </c>
      <c r="C685" s="425" t="e">
        <f t="shared" si="4"/>
        <v>#REF!</v>
      </c>
      <c r="D685" s="401"/>
      <c r="E685" s="421"/>
    </row>
    <row r="686" spans="2:5" ht="15" customHeight="1" x14ac:dyDescent="0.25">
      <c r="B686" s="426" t="e">
        <f t="shared" ref="B686:C686" si="5">((B680+B681)/B685)*100</f>
        <v>#REF!</v>
      </c>
      <c r="C686" s="426" t="e">
        <f t="shared" si="5"/>
        <v>#REF!</v>
      </c>
      <c r="D686" s="401"/>
      <c r="E686" s="421"/>
    </row>
    <row r="687" spans="2:5" ht="15" customHeight="1" x14ac:dyDescent="0.25">
      <c r="B687" s="427"/>
      <c r="C687" s="425"/>
      <c r="D687" s="401"/>
      <c r="E687" s="421"/>
    </row>
    <row r="688" spans="2:5" ht="15" customHeight="1" x14ac:dyDescent="0.25">
      <c r="B688" s="429"/>
      <c r="C688" s="429"/>
      <c r="D688" s="401"/>
      <c r="E688" s="421"/>
    </row>
    <row r="689" spans="1:5" ht="15" customHeight="1" x14ac:dyDescent="0.25">
      <c r="B689" s="531" t="s">
        <v>1393</v>
      </c>
      <c r="C689" s="532"/>
      <c r="D689" s="401"/>
      <c r="E689" s="421"/>
    </row>
    <row r="690" spans="1:5" ht="15" customHeight="1" x14ac:dyDescent="0.25">
      <c r="B690" s="165" t="s">
        <v>965</v>
      </c>
      <c r="C690" s="43" t="s">
        <v>966</v>
      </c>
      <c r="D690" s="401"/>
      <c r="E690" s="421"/>
    </row>
    <row r="691" spans="1:5" ht="15" customHeight="1" x14ac:dyDescent="0.25">
      <c r="B691" s="422" t="e">
        <f>COUNTIFS(B6:B660,1,#REF!,"Just Ask - Paul")</f>
        <v>#REF!</v>
      </c>
      <c r="C691" s="423" t="e">
        <f>COUNTIFS(C6:C660,1,#REF!,"Just Ask - Paul")</f>
        <v>#REF!</v>
      </c>
      <c r="D691" s="401"/>
      <c r="E691" s="421"/>
    </row>
    <row r="692" spans="1:5" ht="15" customHeight="1" x14ac:dyDescent="0.25">
      <c r="B692" s="422" t="e">
        <f>COUNTIFS(B6:B660,2,#REF!,"Just Ask - Paul")</f>
        <v>#REF!</v>
      </c>
      <c r="C692" s="423" t="e">
        <f>COUNTIFS(C6:C660,2,#REF!,"Just Ask - Paul")</f>
        <v>#REF!</v>
      </c>
      <c r="D692" s="401"/>
      <c r="E692" s="421"/>
    </row>
    <row r="693" spans="1:5" ht="15" customHeight="1" x14ac:dyDescent="0.25">
      <c r="B693" s="422" t="e">
        <f>COUNTIFS(B6:B660,3,#REF!,"Just Ask - Paul")</f>
        <v>#REF!</v>
      </c>
      <c r="C693" s="423" t="e">
        <f>COUNTIFS(C6:C660,3,#REF!,"Just Ask - Paul")</f>
        <v>#REF!</v>
      </c>
      <c r="D693" s="401"/>
      <c r="E693" s="421"/>
    </row>
    <row r="694" spans="1:5" ht="15" customHeight="1" x14ac:dyDescent="0.25">
      <c r="B694" s="422" t="e">
        <f>COUNTIFS(B6:B660,4,#REF!,"Just Ask - Paul")</f>
        <v>#REF!</v>
      </c>
      <c r="C694" s="423" t="e">
        <f>COUNTIFS(C6:C660,4,#REF!,"Just Ask - Paul")</f>
        <v>#REF!</v>
      </c>
      <c r="D694" s="401"/>
      <c r="E694" s="421"/>
    </row>
    <row r="695" spans="1:5" ht="15" customHeight="1" x14ac:dyDescent="0.25">
      <c r="B695" s="136" t="e">
        <f t="shared" ref="B695:C695" si="6">SUM(B691:B694,B697)</f>
        <v>#REF!</v>
      </c>
      <c r="C695" s="33" t="e">
        <f t="shared" si="6"/>
        <v>#REF!</v>
      </c>
      <c r="D695" s="401"/>
      <c r="E695" s="421"/>
    </row>
    <row r="696" spans="1:5" ht="15" customHeight="1" x14ac:dyDescent="0.25">
      <c r="B696" s="422" t="e">
        <f>COUNTIFS(B6:B660,"NV",#REF!,"Just Ask - Paul")</f>
        <v>#REF!</v>
      </c>
      <c r="C696" s="423" t="e">
        <f>COUNTIFS(C6:C660,"NV",#REF!,"Just Ask - Paul")</f>
        <v>#REF!</v>
      </c>
      <c r="D696" s="401"/>
      <c r="E696" s="421"/>
    </row>
    <row r="697" spans="1:5" ht="15" customHeight="1" x14ac:dyDescent="0.25">
      <c r="B697" s="422" t="e">
        <f>COUNTIFS(B6:B660,#N/A,#REF!,"Just Ask - Paul")</f>
        <v>#REF!</v>
      </c>
      <c r="C697" s="423" t="e">
        <f>COUNTIFS(C6:C660,#N/A,#REF!,"Just Ask - Paul")</f>
        <v>#REF!</v>
      </c>
      <c r="D697" s="401"/>
      <c r="E697" s="421"/>
    </row>
    <row r="698" spans="1:5" ht="15" customHeight="1" x14ac:dyDescent="0.25">
      <c r="B698" s="424" t="e">
        <f t="shared" ref="B698:C698" si="7">SUM(B691:B694)</f>
        <v>#REF!</v>
      </c>
      <c r="C698" s="425" t="e">
        <f t="shared" si="7"/>
        <v>#REF!</v>
      </c>
      <c r="D698" s="401"/>
      <c r="E698" s="421"/>
    </row>
    <row r="699" spans="1:5" ht="15" customHeight="1" x14ac:dyDescent="0.25">
      <c r="B699" s="426" t="e">
        <f t="shared" ref="B699:C699" si="8">((B693+B694)/B698)*100</f>
        <v>#REF!</v>
      </c>
      <c r="C699" s="426" t="e">
        <f t="shared" si="8"/>
        <v>#REF!</v>
      </c>
      <c r="D699" s="401"/>
      <c r="E699" s="421"/>
    </row>
    <row r="700" spans="1:5" ht="15" customHeight="1" x14ac:dyDescent="0.25">
      <c r="B700" s="427"/>
      <c r="C700" s="425"/>
      <c r="D700" s="401"/>
      <c r="E700" s="421"/>
    </row>
    <row r="701" spans="1:5" ht="15" customHeight="1" x14ac:dyDescent="0.25">
      <c r="B701" s="400"/>
      <c r="C701" s="400"/>
      <c r="D701" s="401"/>
      <c r="E701" s="421"/>
    </row>
    <row r="702" spans="1:5" ht="15" customHeight="1" x14ac:dyDescent="0.25">
      <c r="B702" s="531" t="s">
        <v>1393</v>
      </c>
      <c r="C702" s="532"/>
      <c r="D702" s="401"/>
      <c r="E702" s="421"/>
    </row>
    <row r="703" spans="1:5" ht="15" customHeight="1" x14ac:dyDescent="0.25">
      <c r="A703" s="186"/>
      <c r="B703" s="165" t="s">
        <v>965</v>
      </c>
      <c r="C703" s="43" t="s">
        <v>966</v>
      </c>
      <c r="D703" s="401"/>
      <c r="E703" s="421"/>
    </row>
    <row r="704" spans="1:5" ht="15" customHeight="1" x14ac:dyDescent="0.25">
      <c r="B704" s="422" t="e">
        <f>COUNTIFS(B6:B660,1,#REF!,"Chequers")</f>
        <v>#REF!</v>
      </c>
      <c r="C704" s="423" t="e">
        <f>COUNTIFS(C6:C660,1,#REF!,"Chequers")</f>
        <v>#REF!</v>
      </c>
      <c r="D704" s="401"/>
      <c r="E704" s="421"/>
    </row>
    <row r="705" spans="2:5" ht="15" customHeight="1" x14ac:dyDescent="0.25">
      <c r="B705" s="422" t="e">
        <f>COUNTIFS(B6:B660,2,#REF!,"Chequers")</f>
        <v>#REF!</v>
      </c>
      <c r="C705" s="423" t="e">
        <f>COUNTIFS(C6:C660,2,#REF!,"Chequers")</f>
        <v>#REF!</v>
      </c>
      <c r="D705" s="401"/>
      <c r="E705" s="421"/>
    </row>
    <row r="706" spans="2:5" ht="15" customHeight="1" x14ac:dyDescent="0.25">
      <c r="B706" s="422" t="e">
        <f>COUNTIFS(B6:B660,3,#REF!,"Chequers")</f>
        <v>#REF!</v>
      </c>
      <c r="C706" s="423" t="e">
        <f>COUNTIFS(C6:C660,3,#REF!,"Chequers")</f>
        <v>#REF!</v>
      </c>
      <c r="D706" s="401"/>
      <c r="E706" s="421"/>
    </row>
    <row r="707" spans="2:5" ht="15" customHeight="1" x14ac:dyDescent="0.25">
      <c r="B707" s="422" t="e">
        <f>COUNTIFS(B6:B660,4,#REF!,"Chequers")</f>
        <v>#REF!</v>
      </c>
      <c r="C707" s="423" t="e">
        <f>COUNTIFS(C6:C660,4,#REF!,"Chequers")</f>
        <v>#REF!</v>
      </c>
      <c r="D707" s="401"/>
      <c r="E707" s="421"/>
    </row>
    <row r="708" spans="2:5" ht="15" customHeight="1" x14ac:dyDescent="0.25">
      <c r="B708" s="136" t="e">
        <f t="shared" ref="B708:C708" si="9">SUM(B704:B707,B710)</f>
        <v>#REF!</v>
      </c>
      <c r="C708" s="33" t="e">
        <f t="shared" si="9"/>
        <v>#REF!</v>
      </c>
      <c r="D708" s="401"/>
      <c r="E708" s="421"/>
    </row>
    <row r="709" spans="2:5" ht="15" customHeight="1" x14ac:dyDescent="0.25">
      <c r="B709" s="422" t="e">
        <f>COUNTIFS(B6:B660,"NV",#REF!,"Chequers")</f>
        <v>#REF!</v>
      </c>
      <c r="C709" s="423" t="e">
        <f>COUNTIFS(C6:C660,"NV",#REF!,"Chequers")</f>
        <v>#REF!</v>
      </c>
      <c r="D709" s="401"/>
      <c r="E709" s="421"/>
    </row>
    <row r="710" spans="2:5" ht="15" customHeight="1" x14ac:dyDescent="0.25">
      <c r="B710" s="422" t="e">
        <f>COUNTIFS(B6:B660,#N/A,#REF!,"Chequers")</f>
        <v>#REF!</v>
      </c>
      <c r="C710" s="423" t="e">
        <f>COUNTIFS(C6:C660,#N/A,#REF!,"Chequers")</f>
        <v>#REF!</v>
      </c>
      <c r="D710" s="401"/>
      <c r="E710" s="421"/>
    </row>
    <row r="711" spans="2:5" ht="15" customHeight="1" x14ac:dyDescent="0.25">
      <c r="B711" s="424" t="e">
        <f t="shared" ref="B711:C711" si="10">SUM(B704:B707)</f>
        <v>#REF!</v>
      </c>
      <c r="C711" s="425" t="e">
        <f t="shared" si="10"/>
        <v>#REF!</v>
      </c>
      <c r="D711" s="401"/>
      <c r="E711" s="421"/>
    </row>
    <row r="712" spans="2:5" ht="15" customHeight="1" x14ac:dyDescent="0.25">
      <c r="B712" s="426" t="e">
        <f t="shared" ref="B712:C712" si="11">((B706+B707)/B711)*100</f>
        <v>#REF!</v>
      </c>
      <c r="C712" s="426" t="e">
        <f t="shared" si="11"/>
        <v>#REF!</v>
      </c>
      <c r="D712" s="401"/>
      <c r="E712" s="421"/>
    </row>
    <row r="713" spans="2:5" ht="15" customHeight="1" x14ac:dyDescent="0.25">
      <c r="B713" s="427"/>
      <c r="C713" s="425"/>
      <c r="D713" s="401"/>
      <c r="E713" s="421"/>
    </row>
    <row r="714" spans="2:5" ht="15" customHeight="1" x14ac:dyDescent="0.25">
      <c r="B714" s="404"/>
      <c r="C714" s="404"/>
      <c r="D714" s="401"/>
      <c r="E714" s="421"/>
    </row>
    <row r="715" spans="2:5" ht="15" customHeight="1" x14ac:dyDescent="0.25">
      <c r="B715" s="531" t="s">
        <v>1392</v>
      </c>
      <c r="C715" s="532"/>
      <c r="D715" s="401"/>
      <c r="E715" s="421"/>
    </row>
    <row r="716" spans="2:5" ht="15" customHeight="1" x14ac:dyDescent="0.25">
      <c r="B716" s="165" t="s">
        <v>965</v>
      </c>
      <c r="C716" s="43" t="s">
        <v>966</v>
      </c>
      <c r="D716" s="401"/>
      <c r="E716" s="421"/>
    </row>
    <row r="717" spans="2:5" ht="15" customHeight="1" x14ac:dyDescent="0.25">
      <c r="B717" s="422" t="e">
        <f>COUNTIFS(B6:B660,1,#REF!,"MEARS")</f>
        <v>#REF!</v>
      </c>
      <c r="C717" s="423" t="e">
        <f>COUNTIFS(C6:C660,1,#REF!,"MEARS")</f>
        <v>#REF!</v>
      </c>
      <c r="D717" s="401"/>
      <c r="E717" s="421"/>
    </row>
    <row r="718" spans="2:5" ht="15" customHeight="1" x14ac:dyDescent="0.25">
      <c r="B718" s="422" t="e">
        <f>COUNTIFS(B6:B660,2,#REF!,"MEARS")</f>
        <v>#REF!</v>
      </c>
      <c r="C718" s="423" t="e">
        <f>COUNTIFS(C6:C660,2,#REF!,"MEARS")</f>
        <v>#REF!</v>
      </c>
      <c r="D718" s="401"/>
      <c r="E718" s="421"/>
    </row>
    <row r="719" spans="2:5" ht="15" customHeight="1" x14ac:dyDescent="0.25">
      <c r="B719" s="422" t="e">
        <f>COUNTIFS(B6:B660,3,#REF!,"MEARS")</f>
        <v>#REF!</v>
      </c>
      <c r="C719" s="423" t="e">
        <f>COUNTIFS(C6:C660,3,#REF!,"MEARS")</f>
        <v>#REF!</v>
      </c>
      <c r="D719" s="401"/>
      <c r="E719" s="421"/>
    </row>
    <row r="720" spans="2:5" ht="15" customHeight="1" x14ac:dyDescent="0.25">
      <c r="B720" s="422" t="e">
        <f>COUNTIFS(B6:B660,4,#REF!,"MEARS")</f>
        <v>#REF!</v>
      </c>
      <c r="C720" s="155"/>
      <c r="D720" s="417"/>
      <c r="E720" s="418"/>
    </row>
    <row r="721" spans="2:5" ht="15" customHeight="1" x14ac:dyDescent="0.25">
      <c r="B721" s="136" t="e">
        <f t="shared" ref="B721:C721" si="12">SUM(B717:B720,B723)</f>
        <v>#REF!</v>
      </c>
      <c r="C721" s="33" t="e">
        <f t="shared" si="12"/>
        <v>#REF!</v>
      </c>
      <c r="D721" s="166"/>
      <c r="E721" s="171"/>
    </row>
    <row r="722" spans="2:5" ht="15" customHeight="1" x14ac:dyDescent="0.25">
      <c r="B722" s="422" t="e">
        <f>COUNTIFS(B6:B660,"NV",#REF!,"MEARS")</f>
        <v>#REF!</v>
      </c>
      <c r="C722" s="423" t="e">
        <f>COUNTIFS(C6:C660,"NV",#REF!,"MEARS")</f>
        <v>#REF!</v>
      </c>
      <c r="D722" s="167"/>
      <c r="E722" s="171"/>
    </row>
    <row r="723" spans="2:5" ht="15" customHeight="1" x14ac:dyDescent="0.25">
      <c r="B723" s="422" t="e">
        <f>COUNTIFS(B6:B660,#N/A,#REF!,"MEARS")</f>
        <v>#REF!</v>
      </c>
      <c r="C723" s="423" t="e">
        <f>COUNTIFS(C6:C660,#N/A,#REF!,"MEARS")</f>
        <v>#REF!</v>
      </c>
      <c r="D723" s="167"/>
      <c r="E723" s="171"/>
    </row>
    <row r="724" spans="2:5" ht="15" customHeight="1" x14ac:dyDescent="0.25">
      <c r="B724" s="424" t="e">
        <f t="shared" ref="B724:C724" si="13">SUM(B717:B720)</f>
        <v>#REF!</v>
      </c>
      <c r="C724" s="425" t="e">
        <f t="shared" si="13"/>
        <v>#REF!</v>
      </c>
      <c r="D724" s="167"/>
      <c r="E724" s="171"/>
    </row>
    <row r="725" spans="2:5" ht="15" customHeight="1" x14ac:dyDescent="0.25">
      <c r="B725" s="426" t="e">
        <f t="shared" ref="B725:C725" si="14">((B719+B720)/B724)*100</f>
        <v>#REF!</v>
      </c>
      <c r="C725" s="426" t="e">
        <f t="shared" si="14"/>
        <v>#REF!</v>
      </c>
      <c r="D725" s="167"/>
      <c r="E725" s="171"/>
    </row>
    <row r="726" spans="2:5" ht="15" customHeight="1" x14ac:dyDescent="0.25">
      <c r="B726" s="427"/>
      <c r="C726" s="425"/>
      <c r="D726" s="168"/>
      <c r="E726" s="171"/>
    </row>
    <row r="727" spans="2:5" ht="15" customHeight="1" x14ac:dyDescent="0.25">
      <c r="B727" s="404"/>
      <c r="C727" s="404"/>
      <c r="D727" s="167"/>
      <c r="E727" s="171"/>
    </row>
    <row r="728" spans="2:5" ht="15" customHeight="1" x14ac:dyDescent="0.25">
      <c r="B728" s="404"/>
      <c r="C728" s="404"/>
      <c r="D728" s="167"/>
      <c r="E728" s="171"/>
    </row>
    <row r="729" spans="2:5" ht="15" customHeight="1" x14ac:dyDescent="0.25">
      <c r="B729" s="404"/>
      <c r="C729" s="404"/>
      <c r="D729" s="400"/>
      <c r="E729" s="383"/>
    </row>
    <row r="730" spans="2:5" ht="15" customHeight="1" x14ac:dyDescent="0.25">
      <c r="B730" s="404"/>
      <c r="C730" s="404"/>
      <c r="D730" s="430"/>
      <c r="E730" s="431"/>
    </row>
    <row r="731" spans="2:5" ht="15" customHeight="1" x14ac:dyDescent="0.25">
      <c r="B731" s="404"/>
      <c r="C731" s="404"/>
      <c r="D731" s="400"/>
      <c r="E731" s="383"/>
    </row>
    <row r="732" spans="2:5" ht="15" customHeight="1" x14ac:dyDescent="0.25">
      <c r="B732" s="404"/>
      <c r="C732" s="404"/>
      <c r="D732" s="400"/>
      <c r="E732" s="383"/>
    </row>
    <row r="733" spans="2:5" ht="15" customHeight="1" x14ac:dyDescent="0.25">
      <c r="B733" s="404"/>
      <c r="C733" s="404"/>
      <c r="D733" s="401"/>
      <c r="E733" s="421"/>
    </row>
    <row r="734" spans="2:5" ht="15" customHeight="1" x14ac:dyDescent="0.25">
      <c r="B734" s="404"/>
      <c r="C734" s="404"/>
      <c r="D734" s="401"/>
      <c r="E734" s="421"/>
    </row>
    <row r="735" spans="2:5" ht="15" customHeight="1" x14ac:dyDescent="0.25">
      <c r="B735" s="404"/>
      <c r="C735" s="404"/>
      <c r="D735" s="404"/>
      <c r="E735" s="421"/>
    </row>
    <row r="736" spans="2:5" ht="15" customHeight="1" x14ac:dyDescent="0.25">
      <c r="B736" s="404"/>
      <c r="C736" s="404"/>
      <c r="D736" s="404"/>
      <c r="E736" s="421"/>
    </row>
    <row r="737" spans="2:5" ht="15" customHeight="1" x14ac:dyDescent="0.25">
      <c r="B737" s="404"/>
      <c r="C737" s="404"/>
      <c r="D737" s="404"/>
      <c r="E737" s="421"/>
    </row>
    <row r="738" spans="2:5" ht="15" customHeight="1" x14ac:dyDescent="0.25">
      <c r="B738" s="404"/>
      <c r="C738" s="404"/>
      <c r="D738" s="404"/>
      <c r="E738" s="421"/>
    </row>
    <row r="739" spans="2:5" ht="15" customHeight="1" x14ac:dyDescent="0.25">
      <c r="B739" s="404"/>
      <c r="C739" s="404"/>
      <c r="D739" s="404"/>
      <c r="E739" s="421"/>
    </row>
    <row r="740" spans="2:5" ht="15" customHeight="1" x14ac:dyDescent="0.25">
      <c r="B740" s="404"/>
      <c r="C740" s="404"/>
      <c r="D740" s="404"/>
      <c r="E740" s="421"/>
    </row>
  </sheetData>
  <mergeCells count="6">
    <mergeCell ref="B715:C715"/>
    <mergeCell ref="B4:C4"/>
    <mergeCell ref="B663:C663"/>
    <mergeCell ref="B676:C676"/>
    <mergeCell ref="B689:C689"/>
    <mergeCell ref="B702:C702"/>
  </mergeCells>
  <phoneticPr fontId="26" type="noConversion"/>
  <conditionalFormatting sqref="A80">
    <cfRule type="duplicateValues" dxfId="175" priority="73"/>
  </conditionalFormatting>
  <conditionalFormatting sqref="A662:A1048576 A17:A25 A632:A639 A629:A630 A610 A602:A606 A12:A14 A78:A103 A105:A107 A122:A148 A150:A204 A206:A209 A217:A219 A221:A226 A241:A246 A248:A251 A260:A274 A293:A300 A280:A284 A286 A289:A291 A302 A591:A593 A559:A589 A540:A546 A522:A525 A255 A483:A494 A470:A471 A455:A458 A450:A453 A425:A429 A416:A417 A411:A413 A403 A373:A401 A341:A342 A346:A371 A344 A337:A339 A320:A335 A1:A10 A27:A75 A641 A627 A612:A625 A597:A600 A548:A556 A527:A538 A517:A519 A496:A515 A473:A481 A460:A468 A109:A116 A118:A119 A211:A215 A228:A239 A253 A257:A258 A276:A278 A305:A318 A431:A448 A419:A423 A405:A409">
    <cfRule type="duplicateValues" dxfId="174" priority="72"/>
  </conditionalFormatting>
  <conditionalFormatting sqref="A644">
    <cfRule type="duplicateValues" dxfId="173" priority="70"/>
  </conditionalFormatting>
  <conditionalFormatting sqref="A653">
    <cfRule type="duplicateValues" dxfId="172" priority="69"/>
  </conditionalFormatting>
  <conditionalFormatting sqref="A655">
    <cfRule type="duplicateValues" dxfId="171" priority="66"/>
  </conditionalFormatting>
  <conditionalFormatting sqref="A656:A658">
    <cfRule type="duplicateValues" dxfId="170" priority="65"/>
  </conditionalFormatting>
  <conditionalFormatting sqref="A220">
    <cfRule type="duplicateValues" dxfId="169" priority="61"/>
  </conditionalFormatting>
  <conditionalFormatting sqref="A343">
    <cfRule type="duplicateValues" dxfId="168" priority="58"/>
  </conditionalFormatting>
  <conditionalFormatting sqref="A15">
    <cfRule type="duplicateValues" dxfId="167" priority="44"/>
  </conditionalFormatting>
  <conditionalFormatting sqref="A26">
    <cfRule type="duplicateValues" dxfId="166" priority="43"/>
  </conditionalFormatting>
  <conditionalFormatting sqref="A76">
    <cfRule type="duplicateValues" dxfId="165" priority="42"/>
  </conditionalFormatting>
  <conditionalFormatting sqref="A654">
    <cfRule type="duplicateValues" dxfId="164" priority="40"/>
  </conditionalFormatting>
  <conditionalFormatting sqref="A652">
    <cfRule type="duplicateValues" dxfId="163" priority="39"/>
  </conditionalFormatting>
  <conditionalFormatting sqref="A642">
    <cfRule type="duplicateValues" dxfId="162" priority="38"/>
  </conditionalFormatting>
  <conditionalFormatting sqref="A640">
    <cfRule type="duplicateValues" dxfId="161" priority="37"/>
  </conditionalFormatting>
  <conditionalFormatting sqref="A626">
    <cfRule type="duplicateValues" dxfId="160" priority="36"/>
  </conditionalFormatting>
  <conditionalFormatting sqref="A611">
    <cfRule type="duplicateValues" dxfId="159" priority="35"/>
  </conditionalFormatting>
  <conditionalFormatting sqref="A608">
    <cfRule type="duplicateValues" dxfId="158" priority="34"/>
  </conditionalFormatting>
  <conditionalFormatting sqref="A607">
    <cfRule type="duplicateValues" dxfId="157" priority="33"/>
  </conditionalFormatting>
  <conditionalFormatting sqref="A596">
    <cfRule type="duplicateValues" dxfId="156" priority="32"/>
  </conditionalFormatting>
  <conditionalFormatting sqref="A558">
    <cfRule type="duplicateValues" dxfId="155" priority="31"/>
  </conditionalFormatting>
  <conditionalFormatting sqref="A547">
    <cfRule type="duplicateValues" dxfId="154" priority="30"/>
  </conditionalFormatting>
  <conditionalFormatting sqref="A526">
    <cfRule type="duplicateValues" dxfId="153" priority="29"/>
  </conditionalFormatting>
  <conditionalFormatting sqref="A521">
    <cfRule type="duplicateValues" dxfId="152" priority="28"/>
  </conditionalFormatting>
  <conditionalFormatting sqref="A516">
    <cfRule type="duplicateValues" dxfId="151" priority="27"/>
  </conditionalFormatting>
  <conditionalFormatting sqref="A495">
    <cfRule type="duplicateValues" dxfId="150" priority="26"/>
  </conditionalFormatting>
  <conditionalFormatting sqref="A472">
    <cfRule type="duplicateValues" dxfId="149" priority="25"/>
  </conditionalFormatting>
  <conditionalFormatting sqref="A459">
    <cfRule type="duplicateValues" dxfId="148" priority="24"/>
  </conditionalFormatting>
  <conditionalFormatting sqref="A454">
    <cfRule type="duplicateValues" dxfId="147" priority="23"/>
  </conditionalFormatting>
  <conditionalFormatting sqref="A108">
    <cfRule type="duplicateValues" dxfId="146" priority="22"/>
  </conditionalFormatting>
  <conditionalFormatting sqref="A117">
    <cfRule type="duplicateValues" dxfId="145" priority="21"/>
  </conditionalFormatting>
  <conditionalFormatting sqref="A121">
    <cfRule type="duplicateValues" dxfId="144" priority="20"/>
  </conditionalFormatting>
  <conditionalFormatting sqref="A595">
    <cfRule type="duplicateValues" dxfId="143" priority="19"/>
  </conditionalFormatting>
  <conditionalFormatting sqref="A210">
    <cfRule type="duplicateValues" dxfId="142" priority="18"/>
  </conditionalFormatting>
  <conditionalFormatting sqref="A216">
    <cfRule type="duplicateValues" dxfId="141" priority="17"/>
  </conditionalFormatting>
  <conditionalFormatting sqref="A227">
    <cfRule type="duplicateValues" dxfId="140" priority="16"/>
  </conditionalFormatting>
  <conditionalFormatting sqref="A247">
    <cfRule type="duplicateValues" dxfId="139" priority="15"/>
  </conditionalFormatting>
  <conditionalFormatting sqref="A252">
    <cfRule type="duplicateValues" dxfId="138" priority="14"/>
  </conditionalFormatting>
  <conditionalFormatting sqref="A256">
    <cfRule type="duplicateValues" dxfId="137" priority="13"/>
  </conditionalFormatting>
  <conditionalFormatting sqref="A275">
    <cfRule type="duplicateValues" dxfId="136" priority="12"/>
  </conditionalFormatting>
  <conditionalFormatting sqref="A288">
    <cfRule type="duplicateValues" dxfId="135" priority="11"/>
  </conditionalFormatting>
  <conditionalFormatting sqref="A287">
    <cfRule type="duplicateValues" dxfId="134" priority="10"/>
  </conditionalFormatting>
  <conditionalFormatting sqref="A292">
    <cfRule type="duplicateValues" dxfId="133" priority="9"/>
  </conditionalFormatting>
  <conditionalFormatting sqref="A303">
    <cfRule type="duplicateValues" dxfId="132" priority="8"/>
  </conditionalFormatting>
  <conditionalFormatting sqref="A304">
    <cfRule type="duplicateValues" dxfId="131" priority="7"/>
  </conditionalFormatting>
  <conditionalFormatting sqref="A319">
    <cfRule type="duplicateValues" dxfId="130" priority="6"/>
  </conditionalFormatting>
  <conditionalFormatting sqref="A449">
    <cfRule type="duplicateValues" dxfId="129" priority="5"/>
  </conditionalFormatting>
  <conditionalFormatting sqref="A430">
    <cfRule type="duplicateValues" dxfId="128" priority="4"/>
  </conditionalFormatting>
  <conditionalFormatting sqref="A418">
    <cfRule type="duplicateValues" dxfId="127" priority="3"/>
  </conditionalFormatting>
  <conditionalFormatting sqref="A414">
    <cfRule type="duplicateValues" dxfId="126" priority="2"/>
  </conditionalFormatting>
  <conditionalFormatting sqref="A404">
    <cfRule type="duplicateValues" dxfId="125" priority="1"/>
  </conditionalFormatting>
  <pageMargins left="0.25" right="0.25" top="0.75" bottom="0.75" header="0.3" footer="0.3"/>
  <pageSetup paperSize="8" scale="77" fitToHeight="0" orientation="portrait" r:id="rId1"/>
  <legacy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  <pageSetUpPr fitToPage="1"/>
  </sheetPr>
  <dimension ref="A1:AE154"/>
  <sheetViews>
    <sheetView zoomScale="120" zoomScaleNormal="120" workbookViewId="0">
      <pane ySplit="2" topLeftCell="A132" activePane="bottomLeft" state="frozen"/>
      <selection pane="bottomLeft" activeCell="A139" sqref="A139:A142"/>
    </sheetView>
  </sheetViews>
  <sheetFormatPr defaultRowHeight="15" x14ac:dyDescent="0.25"/>
  <cols>
    <col min="1" max="1" width="33" customWidth="1"/>
    <col min="2" max="2" width="7.85546875" customWidth="1"/>
    <col min="3" max="3" width="14.140625" customWidth="1"/>
    <col min="4" max="4" width="4.140625" customWidth="1"/>
    <col min="5" max="5" width="7.85546875" customWidth="1"/>
    <col min="6" max="6" width="6.140625" customWidth="1"/>
    <col min="7" max="7" width="2.140625" customWidth="1"/>
    <col min="8" max="8" width="10.85546875" style="49" customWidth="1"/>
    <col min="9" max="9" width="2.140625" customWidth="1"/>
    <col min="10" max="10" width="11" style="49" customWidth="1"/>
    <col min="11" max="11" width="2.85546875" customWidth="1"/>
    <col min="12" max="12" width="14.5703125" customWidth="1"/>
    <col min="13" max="13" width="2.140625" customWidth="1"/>
    <col min="14" max="14" width="9.140625" customWidth="1"/>
    <col min="15" max="15" width="2.140625" customWidth="1"/>
    <col min="16" max="16" width="13.42578125" style="49" customWidth="1"/>
    <col min="17" max="17" width="5.85546875" customWidth="1"/>
    <col min="18" max="18" width="20.140625" customWidth="1"/>
    <col min="19" max="19" width="1.140625" customWidth="1"/>
    <col min="20" max="21" width="9.85546875" customWidth="1"/>
    <col min="22" max="29" width="9.140625" customWidth="1"/>
  </cols>
  <sheetData>
    <row r="1" spans="1:31" ht="26.25" customHeight="1" x14ac:dyDescent="0.25">
      <c r="A1" s="8"/>
      <c r="B1" s="9" t="s">
        <v>0</v>
      </c>
      <c r="C1" s="187">
        <v>43927</v>
      </c>
      <c r="D1" s="8"/>
      <c r="E1" s="9" t="s">
        <v>1</v>
      </c>
      <c r="F1" s="65">
        <v>0.5</v>
      </c>
      <c r="G1" s="8"/>
      <c r="H1" s="47"/>
      <c r="I1" s="10"/>
      <c r="J1" s="47"/>
      <c r="K1" s="10"/>
      <c r="L1" s="11"/>
      <c r="M1" s="10"/>
      <c r="N1" s="11"/>
      <c r="O1" s="8"/>
      <c r="P1" s="46" t="s">
        <v>2</v>
      </c>
      <c r="Q1" s="65">
        <v>0.9</v>
      </c>
      <c r="R1" s="12"/>
      <c r="S1" s="12"/>
      <c r="T1" s="8"/>
      <c r="U1" s="8"/>
      <c r="AC1" t="s">
        <v>3</v>
      </c>
    </row>
    <row r="2" spans="1:31" ht="43.5" customHeight="1" x14ac:dyDescent="0.25">
      <c r="A2" s="13"/>
      <c r="B2" s="13"/>
      <c r="C2" s="13"/>
      <c r="D2" s="13"/>
      <c r="E2" s="13"/>
      <c r="F2" s="13"/>
      <c r="G2" s="13"/>
      <c r="H2" s="17" t="s">
        <v>4</v>
      </c>
      <c r="I2" s="13"/>
      <c r="J2" s="17" t="s">
        <v>5</v>
      </c>
      <c r="K2" s="13"/>
      <c r="L2" s="14" t="s">
        <v>6</v>
      </c>
      <c r="M2" s="13"/>
      <c r="N2" s="14" t="s">
        <v>2</v>
      </c>
      <c r="O2" s="13"/>
      <c r="P2" s="17" t="s">
        <v>7</v>
      </c>
      <c r="Q2" s="13"/>
      <c r="R2" s="13" t="s">
        <v>8</v>
      </c>
      <c r="S2" s="13"/>
      <c r="T2" s="13" t="s">
        <v>2</v>
      </c>
      <c r="U2" s="13"/>
    </row>
    <row r="3" spans="1:31" x14ac:dyDescent="0.25">
      <c r="A3" s="13"/>
      <c r="B3" s="13"/>
      <c r="C3" s="13"/>
      <c r="D3" s="13"/>
      <c r="E3" s="13"/>
      <c r="F3" s="13"/>
      <c r="G3" s="13"/>
      <c r="H3" s="17"/>
      <c r="I3" s="13"/>
      <c r="J3" s="17"/>
      <c r="K3" s="13"/>
      <c r="L3" s="14"/>
      <c r="M3" s="13"/>
      <c r="N3" s="14"/>
      <c r="O3" s="13"/>
      <c r="P3" s="17"/>
      <c r="Q3" s="13"/>
      <c r="R3" s="13"/>
      <c r="S3" s="13"/>
      <c r="T3" s="13"/>
      <c r="U3" s="13"/>
    </row>
    <row r="4" spans="1:31" ht="15.75" x14ac:dyDescent="0.25">
      <c r="A4" s="502" t="s">
        <v>9</v>
      </c>
      <c r="B4" s="504" t="s">
        <v>10</v>
      </c>
      <c r="C4" s="504"/>
      <c r="D4" s="504"/>
      <c r="E4" s="504"/>
      <c r="F4" s="504"/>
      <c r="G4" s="15"/>
      <c r="H4" s="46" t="e">
        <f>COUNTIFS(#REF!,"ATB1",#REF!,"&lt;&gt;NV")</f>
        <v>#REF!</v>
      </c>
      <c r="I4" s="10"/>
      <c r="J4" s="46" t="e" cm="1">
        <f t="array" ref="J4">SUM(COUNTIFS(#REF!,"ATB1",#REF!,{"1","2","3","4"}))</f>
        <v>#REF!</v>
      </c>
      <c r="K4" s="10"/>
      <c r="L4" s="16" t="e">
        <f>J4/H4</f>
        <v>#REF!</v>
      </c>
      <c r="M4" s="10"/>
      <c r="N4" s="16">
        <f>$F$1</f>
        <v>0.5</v>
      </c>
      <c r="O4" s="8"/>
      <c r="P4" s="46" t="e">
        <f>COUNTIFS(#REF!,"ATB1",#REF!,3)+COUNTIFS(#REF!,"ATB1",#REF!,4)</f>
        <v>#REF!</v>
      </c>
      <c r="Q4" s="10"/>
      <c r="R4" s="16">
        <f t="shared" ref="R4:R7" si="0">IFERROR(P4/J4,0)</f>
        <v>0</v>
      </c>
      <c r="S4" s="10"/>
      <c r="T4" s="40">
        <f>$Q$1</f>
        <v>0.9</v>
      </c>
      <c r="U4" s="13"/>
    </row>
    <row r="5" spans="1:31" ht="15.75" x14ac:dyDescent="0.25">
      <c r="A5" s="502"/>
      <c r="B5" s="504" t="s">
        <v>11</v>
      </c>
      <c r="C5" s="504"/>
      <c r="D5" s="504"/>
      <c r="E5" s="504"/>
      <c r="F5" s="504"/>
      <c r="G5" s="15"/>
      <c r="H5" s="46" t="e">
        <f>COUNTIFS(#REF!,"ATB1",#REF!,"&lt;&gt;NV")</f>
        <v>#REF!</v>
      </c>
      <c r="I5" s="10"/>
      <c r="J5" s="46" t="e" cm="1">
        <f t="array" ref="J5">SUM(COUNTIFS(#REF!,"ATB1",#REF!,{"1","2","3","4"}))</f>
        <v>#REF!</v>
      </c>
      <c r="K5" s="10"/>
      <c r="L5" s="16" t="e">
        <f>J5/H5</f>
        <v>#REF!</v>
      </c>
      <c r="M5" s="10"/>
      <c r="N5" s="16">
        <f>$F$1</f>
        <v>0.5</v>
      </c>
      <c r="O5" s="8"/>
      <c r="P5" s="46" t="e">
        <f>COUNTIFS(#REF!,"ATB1",#REF!,3)+COUNTIFS(#REF!,"ATB1",#REF!,4)</f>
        <v>#REF!</v>
      </c>
      <c r="Q5" s="10"/>
      <c r="R5" s="16">
        <f t="shared" si="0"/>
        <v>0</v>
      </c>
      <c r="S5" s="10"/>
      <c r="T5" s="40">
        <f t="shared" ref="T5:T7" si="1">$Q$1</f>
        <v>0.9</v>
      </c>
      <c r="U5" s="13"/>
    </row>
    <row r="6" spans="1:31" ht="15.75" x14ac:dyDescent="0.25">
      <c r="A6" s="502"/>
      <c r="B6" s="504" t="s">
        <v>12</v>
      </c>
      <c r="C6" s="504"/>
      <c r="D6" s="504"/>
      <c r="E6" s="504"/>
      <c r="F6" s="504"/>
      <c r="G6" s="15"/>
      <c r="H6" s="46" t="e">
        <f>(COUNTIFS(#REF!,"ATB1",#REF!,"&lt;&gt;NV"))</f>
        <v>#REF!</v>
      </c>
      <c r="I6" s="10"/>
      <c r="J6" s="46" t="e" cm="1">
        <f t="array" ref="J6">SUM(COUNTIFS(#REF!,"ATB1",#REF!,{"1","2","3","4"}))</f>
        <v>#REF!</v>
      </c>
      <c r="K6" s="10"/>
      <c r="L6" s="16" t="e">
        <f>J6/H6</f>
        <v>#REF!</v>
      </c>
      <c r="M6" s="10"/>
      <c r="N6" s="16">
        <f>$F$1</f>
        <v>0.5</v>
      </c>
      <c r="O6" s="8"/>
      <c r="P6" s="46" t="e">
        <f>COUNTIFS(#REF!,"ATB1",#REF!,3)+COUNTIFS(#REF!,"ATB1",#REF!,4)</f>
        <v>#REF!</v>
      </c>
      <c r="Q6" s="10"/>
      <c r="R6" s="16">
        <f t="shared" si="0"/>
        <v>0</v>
      </c>
      <c r="S6" s="10"/>
      <c r="T6" s="40">
        <f t="shared" si="1"/>
        <v>0.9</v>
      </c>
      <c r="U6" s="13"/>
    </row>
    <row r="7" spans="1:31" x14ac:dyDescent="0.25">
      <c r="A7" s="503"/>
      <c r="B7" s="504" t="s">
        <v>13</v>
      </c>
      <c r="C7" s="504"/>
      <c r="D7" s="504"/>
      <c r="E7" s="504"/>
      <c r="F7" s="504"/>
      <c r="G7" s="8"/>
      <c r="H7" s="46" t="e">
        <f>H4+H5+H6</f>
        <v>#REF!</v>
      </c>
      <c r="I7" s="10"/>
      <c r="J7" s="46" t="e">
        <f>SUM(J4:J6)</f>
        <v>#REF!</v>
      </c>
      <c r="K7" s="10"/>
      <c r="L7" s="16" t="e">
        <f>J7/H7</f>
        <v>#REF!</v>
      </c>
      <c r="M7" s="10"/>
      <c r="N7" s="16">
        <f>$F$1</f>
        <v>0.5</v>
      </c>
      <c r="O7" s="8"/>
      <c r="P7" s="46" t="e">
        <f>SUM(P4:P6)</f>
        <v>#REF!</v>
      </c>
      <c r="Q7" s="10"/>
      <c r="R7" s="16">
        <f t="shared" si="0"/>
        <v>0</v>
      </c>
      <c r="S7" s="10"/>
      <c r="T7" s="40">
        <f t="shared" si="1"/>
        <v>0.9</v>
      </c>
      <c r="U7" s="13"/>
    </row>
    <row r="8" spans="1:31" x14ac:dyDescent="0.25">
      <c r="H8"/>
      <c r="J8"/>
      <c r="P8"/>
    </row>
    <row r="9" spans="1:31" ht="15.75" x14ac:dyDescent="0.25">
      <c r="A9" s="502" t="s">
        <v>1355</v>
      </c>
      <c r="B9" s="504" t="s">
        <v>10</v>
      </c>
      <c r="C9" s="504"/>
      <c r="D9" s="504"/>
      <c r="E9" s="504"/>
      <c r="F9" s="504"/>
      <c r="G9" s="15"/>
      <c r="H9" s="46" t="e">
        <f>COUNTIFS(#REF!,"ATB2",#REF!,"&lt;&gt;NV")</f>
        <v>#REF!</v>
      </c>
      <c r="I9" s="10"/>
      <c r="J9" s="46" t="e" cm="1">
        <f t="array" ref="J9">SUM(COUNTIFS(#REF!,"ATB2",#REF!,{"1","2","3","4"}))</f>
        <v>#REF!</v>
      </c>
      <c r="K9" s="10"/>
      <c r="L9" s="16" t="e">
        <f>J9/H9</f>
        <v>#REF!</v>
      </c>
      <c r="M9" s="10"/>
      <c r="N9" s="16">
        <f>$F$1</f>
        <v>0.5</v>
      </c>
      <c r="O9" s="8"/>
      <c r="P9" s="46" t="e">
        <f>COUNTIFS(#REF!,"ATB2",#REF!,3)+COUNTIFS(#REF!,"ATB2",#REF!,4)</f>
        <v>#REF!</v>
      </c>
      <c r="Q9" s="10"/>
      <c r="R9" s="16">
        <f t="shared" ref="R9:R12" si="2">IFERROR(P9/J9,0)</f>
        <v>0</v>
      </c>
      <c r="S9" s="10"/>
      <c r="T9" s="40">
        <f t="shared" ref="T9:T12" si="3">$Q$1</f>
        <v>0.9</v>
      </c>
      <c r="U9" s="8"/>
    </row>
    <row r="10" spans="1:31" ht="15.75" x14ac:dyDescent="0.25">
      <c r="A10" s="502"/>
      <c r="B10" s="504" t="s">
        <v>11</v>
      </c>
      <c r="C10" s="504"/>
      <c r="D10" s="504"/>
      <c r="E10" s="504"/>
      <c r="F10" s="504"/>
      <c r="G10" s="15"/>
      <c r="H10" s="46" t="e">
        <f>COUNTIFS(#REF!,"ATB2",#REF!,"&lt;&gt;NV")</f>
        <v>#REF!</v>
      </c>
      <c r="I10" s="10"/>
      <c r="J10" s="46" t="e" cm="1">
        <f t="array" ref="J10">SUM(COUNTIFS(#REF!,"ATB2",#REF!,{"1","2","3","4"}))</f>
        <v>#REF!</v>
      </c>
      <c r="K10" s="10"/>
      <c r="L10" s="16" t="e">
        <f>J10/H10</f>
        <v>#REF!</v>
      </c>
      <c r="M10" s="10"/>
      <c r="N10" s="16">
        <f>$F$1</f>
        <v>0.5</v>
      </c>
      <c r="O10" s="8"/>
      <c r="P10" s="46" t="e">
        <f>COUNTIFS(#REF!,"ATB2",#REF!,3)+COUNTIFS(#REF!,"ATB2",#REF!,4)</f>
        <v>#REF!</v>
      </c>
      <c r="Q10" s="10"/>
      <c r="R10" s="16">
        <f t="shared" si="2"/>
        <v>0</v>
      </c>
      <c r="S10" s="10"/>
      <c r="T10" s="40">
        <f t="shared" si="3"/>
        <v>0.9</v>
      </c>
      <c r="U10" s="8"/>
      <c r="AE10" t="s">
        <v>3</v>
      </c>
    </row>
    <row r="11" spans="1:31" ht="15.75" x14ac:dyDescent="0.25">
      <c r="A11" s="502"/>
      <c r="B11" s="504" t="s">
        <v>12</v>
      </c>
      <c r="C11" s="504"/>
      <c r="D11" s="504"/>
      <c r="E11" s="504"/>
      <c r="F11" s="504"/>
      <c r="G11" s="15"/>
      <c r="H11" s="46" t="e">
        <f>(COUNTIFS(#REF!,"ATB2",#REF!,"&lt;&gt;NV"))</f>
        <v>#REF!</v>
      </c>
      <c r="I11" s="10"/>
      <c r="J11" s="46" t="e" cm="1">
        <f t="array" ref="J11">SUM(COUNTIFS(#REF!,"ATB2",#REF!,{"1","2","3","4"}))</f>
        <v>#REF!</v>
      </c>
      <c r="K11" s="10"/>
      <c r="L11" s="16" t="e">
        <f>J11/H11</f>
        <v>#REF!</v>
      </c>
      <c r="M11" s="10"/>
      <c r="N11" s="16">
        <f>$F$1</f>
        <v>0.5</v>
      </c>
      <c r="O11" s="8"/>
      <c r="P11" s="46" t="e">
        <f>COUNTIFS(#REF!,"ATB2",#REF!,3)+COUNTIFS(#REF!,"ATB2",#REF!,4)</f>
        <v>#REF!</v>
      </c>
      <c r="Q11" s="10"/>
      <c r="R11" s="16">
        <f t="shared" si="2"/>
        <v>0</v>
      </c>
      <c r="S11" s="10"/>
      <c r="T11" s="40">
        <f t="shared" si="3"/>
        <v>0.9</v>
      </c>
      <c r="U11" s="8"/>
    </row>
    <row r="12" spans="1:31" x14ac:dyDescent="0.25">
      <c r="A12" s="503"/>
      <c r="B12" s="504" t="s">
        <v>13</v>
      </c>
      <c r="C12" s="504"/>
      <c r="D12" s="504"/>
      <c r="E12" s="504"/>
      <c r="F12" s="504"/>
      <c r="G12" s="8"/>
      <c r="H12" s="46" t="e">
        <f>H9+H10+H11</f>
        <v>#REF!</v>
      </c>
      <c r="I12" s="10"/>
      <c r="J12" s="46" t="e">
        <f>SUM(J9:J11)</f>
        <v>#REF!</v>
      </c>
      <c r="K12" s="10"/>
      <c r="L12" s="16" t="e">
        <f>J12/H12</f>
        <v>#REF!</v>
      </c>
      <c r="M12" s="10"/>
      <c r="N12" s="16">
        <f>$F$1</f>
        <v>0.5</v>
      </c>
      <c r="O12" s="8"/>
      <c r="P12" s="46" t="e">
        <f>SUM(P9:P11)</f>
        <v>#REF!</v>
      </c>
      <c r="Q12" s="10"/>
      <c r="R12" s="16">
        <f t="shared" si="2"/>
        <v>0</v>
      </c>
      <c r="S12" s="10"/>
      <c r="T12" s="40">
        <f t="shared" si="3"/>
        <v>0.9</v>
      </c>
      <c r="U12" s="8"/>
    </row>
    <row r="13" spans="1:31" x14ac:dyDescent="0.25">
      <c r="H13"/>
      <c r="J13"/>
      <c r="P13"/>
    </row>
    <row r="14" spans="1:31" ht="15.75" x14ac:dyDescent="0.25">
      <c r="A14" s="505" t="s">
        <v>15</v>
      </c>
      <c r="B14" s="504" t="s">
        <v>10</v>
      </c>
      <c r="C14" s="504"/>
      <c r="D14" s="504"/>
      <c r="E14" s="504"/>
      <c r="F14" s="504"/>
      <c r="G14" s="15"/>
      <c r="H14" s="46" t="e">
        <f>COUNTIFS(#REF!,"ATB3",#REF!,"&lt;&gt;NV")</f>
        <v>#REF!</v>
      </c>
      <c r="I14" s="10"/>
      <c r="J14" s="46" t="e" cm="1">
        <f t="array" ref="J14">SUM(COUNTIFS(#REF!,"ATB3",#REF!,{"1","2","3","4"}))</f>
        <v>#REF!</v>
      </c>
      <c r="K14" s="10"/>
      <c r="L14" s="16" t="e">
        <f>J14/H14</f>
        <v>#REF!</v>
      </c>
      <c r="M14" s="10"/>
      <c r="N14" s="16">
        <f>$F$1</f>
        <v>0.5</v>
      </c>
      <c r="O14" s="8"/>
      <c r="P14" s="46" t="e">
        <f>COUNTIFS(#REF!,"ATB3",#REF!,3)+COUNTIFS(#REF!,"ATB3",#REF!,4)</f>
        <v>#REF!</v>
      </c>
      <c r="Q14" s="10"/>
      <c r="R14" s="16">
        <f t="shared" ref="R14:R17" si="4">IFERROR(P14/J14,0)</f>
        <v>0</v>
      </c>
      <c r="S14" s="10"/>
      <c r="T14" s="40">
        <f t="shared" ref="T14:T17" si="5">$Q$1</f>
        <v>0.9</v>
      </c>
      <c r="U14" s="8"/>
    </row>
    <row r="15" spans="1:31" ht="15.75" x14ac:dyDescent="0.25">
      <c r="A15" s="505"/>
      <c r="B15" s="504" t="s">
        <v>11</v>
      </c>
      <c r="C15" s="504"/>
      <c r="D15" s="504"/>
      <c r="E15" s="504"/>
      <c r="F15" s="504"/>
      <c r="G15" s="15"/>
      <c r="H15" s="46" t="e">
        <f>COUNTIFS(#REF!,"ATB3",#REF!,"&lt;&gt;NV")</f>
        <v>#REF!</v>
      </c>
      <c r="I15" s="10"/>
      <c r="J15" s="46" t="e" cm="1">
        <f t="array" ref="J15">SUM(COUNTIFS(#REF!,"ATB3",#REF!,{"1","2","3","4"}))</f>
        <v>#REF!</v>
      </c>
      <c r="K15" s="10"/>
      <c r="L15" s="16" t="e">
        <f>J15/H15</f>
        <v>#REF!</v>
      </c>
      <c r="M15" s="10"/>
      <c r="N15" s="16">
        <f>$F$1</f>
        <v>0.5</v>
      </c>
      <c r="O15" s="8"/>
      <c r="P15" s="46" t="e">
        <f>COUNTIFS(#REF!,"ATB3",#REF!,3)+COUNTIFS(#REF!,"ATB3",#REF!,4)</f>
        <v>#REF!</v>
      </c>
      <c r="Q15" s="10"/>
      <c r="R15" s="16">
        <f t="shared" si="4"/>
        <v>0</v>
      </c>
      <c r="S15" s="10"/>
      <c r="T15" s="40">
        <f t="shared" si="5"/>
        <v>0.9</v>
      </c>
      <c r="U15" s="8"/>
    </row>
    <row r="16" spans="1:31" ht="15.75" x14ac:dyDescent="0.25">
      <c r="A16" s="505"/>
      <c r="B16" s="504" t="s">
        <v>12</v>
      </c>
      <c r="C16" s="504"/>
      <c r="D16" s="504"/>
      <c r="E16" s="504"/>
      <c r="F16" s="504"/>
      <c r="G16" s="15"/>
      <c r="H16" s="46" t="e">
        <f>(COUNTIFS(#REF!,"ATB3",#REF!,"&lt;&gt;NV"))</f>
        <v>#REF!</v>
      </c>
      <c r="I16" s="10"/>
      <c r="J16" s="46" t="e" cm="1">
        <f t="array" ref="J16">SUM(COUNTIFS(#REF!,"ATB3",#REF!,{"1","2","3","4"}))</f>
        <v>#REF!</v>
      </c>
      <c r="K16" s="10"/>
      <c r="L16" s="16" t="e">
        <f>J16/H16</f>
        <v>#REF!</v>
      </c>
      <c r="M16" s="10"/>
      <c r="N16" s="16">
        <f>$F$1</f>
        <v>0.5</v>
      </c>
      <c r="O16" s="8"/>
      <c r="P16" s="46" t="e">
        <f>COUNTIFS(#REF!,"ATB3",#REF!,3)+COUNTIFS(#REF!,"ATB3",#REF!,4)</f>
        <v>#REF!</v>
      </c>
      <c r="Q16" s="10"/>
      <c r="R16" s="16">
        <f t="shared" si="4"/>
        <v>0</v>
      </c>
      <c r="S16" s="10"/>
      <c r="T16" s="40">
        <f t="shared" si="5"/>
        <v>0.9</v>
      </c>
      <c r="U16" s="8"/>
    </row>
    <row r="17" spans="1:21" x14ac:dyDescent="0.25">
      <c r="A17" s="506"/>
      <c r="B17" s="504" t="s">
        <v>13</v>
      </c>
      <c r="C17" s="504"/>
      <c r="D17" s="504"/>
      <c r="E17" s="504"/>
      <c r="F17" s="504"/>
      <c r="G17" s="8"/>
      <c r="H17" s="46" t="e">
        <f>H14+H15+H16</f>
        <v>#REF!</v>
      </c>
      <c r="I17" s="10"/>
      <c r="J17" s="46" t="e">
        <f>SUM(J14:J16)</f>
        <v>#REF!</v>
      </c>
      <c r="K17" s="10"/>
      <c r="L17" s="16" t="e">
        <f>J17/H17</f>
        <v>#REF!</v>
      </c>
      <c r="M17" s="10"/>
      <c r="N17" s="16">
        <f>$F$1</f>
        <v>0.5</v>
      </c>
      <c r="O17" s="8"/>
      <c r="P17" s="46" t="e">
        <f>SUM(P14:P16)</f>
        <v>#REF!</v>
      </c>
      <c r="Q17" s="10"/>
      <c r="R17" s="16">
        <f t="shared" si="4"/>
        <v>0</v>
      </c>
      <c r="S17" s="10"/>
      <c r="T17" s="40">
        <f t="shared" si="5"/>
        <v>0.9</v>
      </c>
      <c r="U17" s="8"/>
    </row>
    <row r="18" spans="1:21" x14ac:dyDescent="0.25">
      <c r="H18"/>
      <c r="J18"/>
      <c r="P18"/>
    </row>
    <row r="19" spans="1:21" ht="15.75" x14ac:dyDescent="0.25">
      <c r="A19" s="502" t="s">
        <v>16</v>
      </c>
      <c r="B19" s="504" t="s">
        <v>10</v>
      </c>
      <c r="C19" s="504"/>
      <c r="D19" s="504"/>
      <c r="E19" s="504"/>
      <c r="F19" s="504"/>
      <c r="G19" s="15"/>
      <c r="H19" s="46" t="e">
        <f>COUNTIFS(#REF!,"ATB4",#REF!,"&lt;&gt;NV")</f>
        <v>#REF!</v>
      </c>
      <c r="I19" s="10"/>
      <c r="J19" s="46" t="e" cm="1">
        <f t="array" ref="J19">SUM(COUNTIFS(#REF!,"ATB4",#REF!,{"1","2","3","4"}))</f>
        <v>#REF!</v>
      </c>
      <c r="K19" s="10"/>
      <c r="L19" s="16" t="e">
        <f>J19/H19</f>
        <v>#REF!</v>
      </c>
      <c r="M19" s="10"/>
      <c r="N19" s="16">
        <f>$F$1</f>
        <v>0.5</v>
      </c>
      <c r="O19" s="8"/>
      <c r="P19" s="46" t="e">
        <f>COUNTIFS(#REF!,"ATB4",#REF!,3)+COUNTIFS(#REF!,"ATB4",#REF!,4)</f>
        <v>#REF!</v>
      </c>
      <c r="Q19" s="10"/>
      <c r="R19" s="16">
        <f t="shared" ref="R19:R22" si="6">IFERROR(P19/J19,0)</f>
        <v>0</v>
      </c>
      <c r="S19" s="10"/>
      <c r="T19" s="40">
        <f t="shared" ref="T19:T22" si="7">$Q$1</f>
        <v>0.9</v>
      </c>
      <c r="U19" s="8"/>
    </row>
    <row r="20" spans="1:21" ht="15.75" x14ac:dyDescent="0.25">
      <c r="A20" s="502"/>
      <c r="B20" s="504" t="s">
        <v>11</v>
      </c>
      <c r="C20" s="504"/>
      <c r="D20" s="504"/>
      <c r="E20" s="504"/>
      <c r="F20" s="504"/>
      <c r="G20" s="15"/>
      <c r="H20" s="46" t="e">
        <f>COUNTIFS(#REF!,"ATB4",#REF!,"&lt;&gt;NV")</f>
        <v>#REF!</v>
      </c>
      <c r="I20" s="10"/>
      <c r="J20" s="46" t="e" cm="1">
        <f t="array" ref="J20">SUM(COUNTIFS(#REF!,"ATB4",#REF!,{"1","2","3","4"}))</f>
        <v>#REF!</v>
      </c>
      <c r="K20" s="10"/>
      <c r="L20" s="16" t="e">
        <f>J20/H20</f>
        <v>#REF!</v>
      </c>
      <c r="M20" s="10"/>
      <c r="N20" s="16">
        <f>$F$1</f>
        <v>0.5</v>
      </c>
      <c r="O20" s="8"/>
      <c r="P20" s="46" t="e">
        <f>COUNTIFS(#REF!,"ATB4",#REF!,3)+COUNTIFS(#REF!,"ATB4",#REF!,4)</f>
        <v>#REF!</v>
      </c>
      <c r="Q20" s="10"/>
      <c r="R20" s="16">
        <f t="shared" si="6"/>
        <v>0</v>
      </c>
      <c r="S20" s="10"/>
      <c r="T20" s="40">
        <f t="shared" si="7"/>
        <v>0.9</v>
      </c>
      <c r="U20" s="8"/>
    </row>
    <row r="21" spans="1:21" ht="15.75" x14ac:dyDescent="0.25">
      <c r="A21" s="502"/>
      <c r="B21" s="504" t="s">
        <v>12</v>
      </c>
      <c r="C21" s="504"/>
      <c r="D21" s="504"/>
      <c r="E21" s="504"/>
      <c r="F21" s="504"/>
      <c r="G21" s="15"/>
      <c r="H21" s="46" t="e">
        <f>(COUNTIFS(#REF!,"ATB4",#REF!,"&lt;&gt;NV"))</f>
        <v>#REF!</v>
      </c>
      <c r="I21" s="10"/>
      <c r="J21" s="46" t="e" cm="1">
        <f t="array" ref="J21">SUM(COUNTIFS(#REF!,"ATB4",#REF!,{"1","2","3","4"}))</f>
        <v>#REF!</v>
      </c>
      <c r="K21" s="10"/>
      <c r="L21" s="16" t="e">
        <f>J21/H21</f>
        <v>#REF!</v>
      </c>
      <c r="M21" s="10"/>
      <c r="N21" s="16">
        <f>$F$1</f>
        <v>0.5</v>
      </c>
      <c r="O21" s="8"/>
      <c r="P21" s="46" t="e">
        <f>COUNTIFS(#REF!,"ATB4",#REF!,3)+COUNTIFS(#REF!,"ATB4",#REF!,4)</f>
        <v>#REF!</v>
      </c>
      <c r="Q21" s="10"/>
      <c r="R21" s="16">
        <f t="shared" si="6"/>
        <v>0</v>
      </c>
      <c r="S21" s="10"/>
      <c r="T21" s="40">
        <f t="shared" si="7"/>
        <v>0.9</v>
      </c>
      <c r="U21" s="8"/>
    </row>
    <row r="22" spans="1:21" x14ac:dyDescent="0.25">
      <c r="A22" s="503"/>
      <c r="B22" s="504" t="s">
        <v>13</v>
      </c>
      <c r="C22" s="504"/>
      <c r="D22" s="504"/>
      <c r="E22" s="504"/>
      <c r="F22" s="504"/>
      <c r="G22" s="8"/>
      <c r="H22" s="46" t="e">
        <f>H19+H20+H21</f>
        <v>#REF!</v>
      </c>
      <c r="I22" s="10"/>
      <c r="J22" s="46" t="e">
        <f>SUM(J19:J21)</f>
        <v>#REF!</v>
      </c>
      <c r="K22" s="10"/>
      <c r="L22" s="16" t="e">
        <f>J22/H22</f>
        <v>#REF!</v>
      </c>
      <c r="M22" s="10"/>
      <c r="N22" s="16">
        <f>$F$1</f>
        <v>0.5</v>
      </c>
      <c r="O22" s="8"/>
      <c r="P22" s="46" t="e">
        <f>SUM(P19:P21)</f>
        <v>#REF!</v>
      </c>
      <c r="Q22" s="10"/>
      <c r="R22" s="16">
        <f t="shared" si="6"/>
        <v>0</v>
      </c>
      <c r="S22" s="10"/>
      <c r="T22" s="40">
        <f t="shared" si="7"/>
        <v>0.9</v>
      </c>
      <c r="U22" s="8"/>
    </row>
    <row r="23" spans="1:21" x14ac:dyDescent="0.25">
      <c r="H23"/>
      <c r="J23"/>
      <c r="P23"/>
    </row>
    <row r="24" spans="1:21" ht="15.75" x14ac:dyDescent="0.25">
      <c r="A24" s="502" t="s">
        <v>17</v>
      </c>
      <c r="B24" s="504" t="s">
        <v>10</v>
      </c>
      <c r="C24" s="504"/>
      <c r="D24" s="504"/>
      <c r="E24" s="504"/>
      <c r="F24" s="504"/>
      <c r="G24" s="15"/>
      <c r="H24" s="46" t="e">
        <f>COUNTIFS(#REF!,"ATB5",#REF!,"&lt;&gt;NV")</f>
        <v>#REF!</v>
      </c>
      <c r="I24" s="10"/>
      <c r="J24" s="46" t="e" cm="1">
        <f t="array" ref="J24">SUM(COUNTIFS(#REF!,"ATB5",#REF!,{"1","2","3","4"}))</f>
        <v>#REF!</v>
      </c>
      <c r="K24" s="10"/>
      <c r="L24" s="16" t="e">
        <f>J24/H24</f>
        <v>#REF!</v>
      </c>
      <c r="M24" s="10"/>
      <c r="N24" s="16">
        <f>$F$1</f>
        <v>0.5</v>
      </c>
      <c r="O24" s="8"/>
      <c r="P24" s="46" t="e">
        <f>COUNTIFS(#REF!,"ATB5",#REF!,3)+COUNTIFS(#REF!,"ATB5",#REF!,4)</f>
        <v>#REF!</v>
      </c>
      <c r="Q24" s="10"/>
      <c r="R24" s="16">
        <f t="shared" ref="R24:R27" si="8">IFERROR(P24/J24,0)</f>
        <v>0</v>
      </c>
      <c r="S24" s="10"/>
      <c r="T24" s="40">
        <f t="shared" ref="T24:T27" si="9">$Q$1</f>
        <v>0.9</v>
      </c>
      <c r="U24" s="8"/>
    </row>
    <row r="25" spans="1:21" ht="15.75" x14ac:dyDescent="0.25">
      <c r="A25" s="502"/>
      <c r="B25" s="504" t="s">
        <v>11</v>
      </c>
      <c r="C25" s="504"/>
      <c r="D25" s="504"/>
      <c r="E25" s="504"/>
      <c r="F25" s="504"/>
      <c r="G25" s="15"/>
      <c r="H25" s="46" t="e">
        <f>COUNTIFS(#REF!,"ATB5",#REF!,"&lt;&gt;NV")</f>
        <v>#REF!</v>
      </c>
      <c r="I25" s="10"/>
      <c r="J25" s="46" t="e" cm="1">
        <f t="array" ref="J25">SUM(COUNTIFS(#REF!,"ATB5",#REF!,{"1","2","3","4"}))</f>
        <v>#REF!</v>
      </c>
      <c r="K25" s="10"/>
      <c r="L25" s="16" t="e">
        <f>J25/H25</f>
        <v>#REF!</v>
      </c>
      <c r="M25" s="10"/>
      <c r="N25" s="16">
        <f>$F$1</f>
        <v>0.5</v>
      </c>
      <c r="O25" s="8"/>
      <c r="P25" s="46" t="e">
        <f>COUNTIFS(#REF!,"ATB5",#REF!,3)+COUNTIFS(#REF!,"ATB5",#REF!,4)</f>
        <v>#REF!</v>
      </c>
      <c r="Q25" s="10"/>
      <c r="R25" s="16">
        <f t="shared" si="8"/>
        <v>0</v>
      </c>
      <c r="S25" s="10"/>
      <c r="T25" s="40">
        <f t="shared" si="9"/>
        <v>0.9</v>
      </c>
      <c r="U25" s="8"/>
    </row>
    <row r="26" spans="1:21" ht="15.75" x14ac:dyDescent="0.25">
      <c r="A26" s="502"/>
      <c r="B26" s="504" t="s">
        <v>12</v>
      </c>
      <c r="C26" s="504"/>
      <c r="D26" s="504"/>
      <c r="E26" s="504"/>
      <c r="F26" s="504"/>
      <c r="G26" s="15"/>
      <c r="H26" s="46" t="e">
        <f>(COUNTIFS(#REF!,"ATB5",#REF!,"&lt;&gt;NV"))</f>
        <v>#REF!</v>
      </c>
      <c r="I26" s="10"/>
      <c r="J26" s="46" t="e" cm="1">
        <f t="array" ref="J26">SUM(COUNTIFS(#REF!,"ATB5",#REF!,{"1","2","3","4"}))</f>
        <v>#REF!</v>
      </c>
      <c r="K26" s="10"/>
      <c r="L26" s="16" t="e">
        <f>J26/H26</f>
        <v>#REF!</v>
      </c>
      <c r="M26" s="10"/>
      <c r="N26" s="16">
        <f>$F$1</f>
        <v>0.5</v>
      </c>
      <c r="O26" s="8"/>
      <c r="P26" s="46" t="e">
        <f>COUNTIFS(#REF!,"ATB5",#REF!,3)+COUNTIFS(#REF!,"ATB5",#REF!,4)</f>
        <v>#REF!</v>
      </c>
      <c r="Q26" s="10"/>
      <c r="R26" s="16">
        <f t="shared" si="8"/>
        <v>0</v>
      </c>
      <c r="S26" s="10"/>
      <c r="T26" s="40">
        <f t="shared" si="9"/>
        <v>0.9</v>
      </c>
      <c r="U26" s="8"/>
    </row>
    <row r="27" spans="1:21" x14ac:dyDescent="0.25">
      <c r="A27" s="503"/>
      <c r="B27" s="504" t="s">
        <v>13</v>
      </c>
      <c r="C27" s="504"/>
      <c r="D27" s="504"/>
      <c r="E27" s="504"/>
      <c r="F27" s="504"/>
      <c r="G27" s="8"/>
      <c r="H27" s="46" t="e">
        <f>H24+H25+H26</f>
        <v>#REF!</v>
      </c>
      <c r="I27" s="10"/>
      <c r="J27" s="46" t="e">
        <f>SUM(J24:J26)</f>
        <v>#REF!</v>
      </c>
      <c r="K27" s="10"/>
      <c r="L27" s="16" t="e">
        <f>J27/H27</f>
        <v>#REF!</v>
      </c>
      <c r="M27" s="10"/>
      <c r="N27" s="16">
        <f>$F$1</f>
        <v>0.5</v>
      </c>
      <c r="O27" s="8"/>
      <c r="P27" s="46" t="e">
        <f>SUM(P24:P26)</f>
        <v>#REF!</v>
      </c>
      <c r="Q27" s="10"/>
      <c r="R27" s="16">
        <f t="shared" si="8"/>
        <v>0</v>
      </c>
      <c r="S27" s="10"/>
      <c r="T27" s="40">
        <f t="shared" si="9"/>
        <v>0.9</v>
      </c>
      <c r="U27" s="8"/>
    </row>
    <row r="28" spans="1:21" x14ac:dyDescent="0.25">
      <c r="H28"/>
      <c r="J28"/>
      <c r="P28"/>
    </row>
    <row r="29" spans="1:21" ht="15.75" x14ac:dyDescent="0.25">
      <c r="A29" s="502" t="s">
        <v>18</v>
      </c>
      <c r="B29" s="504" t="s">
        <v>10</v>
      </c>
      <c r="C29" s="504"/>
      <c r="D29" s="504"/>
      <c r="E29" s="504"/>
      <c r="F29" s="504"/>
      <c r="G29" s="15"/>
      <c r="H29" s="46" t="e">
        <f>COUNTIFS(#REF!,"ATB6",#REF!,"&lt;&gt;NV")</f>
        <v>#REF!</v>
      </c>
      <c r="I29" s="10"/>
      <c r="J29" s="46" t="e" cm="1">
        <f t="array" ref="J29">SUM(COUNTIFS(#REF!,"ATB6",#REF!,{"1","2","3","4"}))</f>
        <v>#REF!</v>
      </c>
      <c r="K29" s="10"/>
      <c r="L29" s="16" t="e">
        <f>J29/H29</f>
        <v>#REF!</v>
      </c>
      <c r="M29" s="10"/>
      <c r="N29" s="16">
        <f>$F$1</f>
        <v>0.5</v>
      </c>
      <c r="O29" s="8"/>
      <c r="P29" s="46" t="e">
        <f>COUNTIFS(#REF!,"ATB6",#REF!,3)+COUNTIFS(#REF!,"ATB6",#REF!,4)</f>
        <v>#REF!</v>
      </c>
      <c r="Q29" s="10"/>
      <c r="R29" s="16">
        <f t="shared" ref="R29:R32" si="10">IFERROR(P29/J29,0)</f>
        <v>0</v>
      </c>
      <c r="S29" s="10"/>
      <c r="T29" s="40">
        <f t="shared" ref="T29:T32" si="11">$Q$1</f>
        <v>0.9</v>
      </c>
      <c r="U29" s="8"/>
    </row>
    <row r="30" spans="1:21" ht="15.75" x14ac:dyDescent="0.25">
      <c r="A30" s="502"/>
      <c r="B30" s="504" t="s">
        <v>11</v>
      </c>
      <c r="C30" s="504"/>
      <c r="D30" s="504"/>
      <c r="E30" s="504"/>
      <c r="F30" s="504"/>
      <c r="G30" s="15"/>
      <c r="H30" s="46" t="e">
        <f>COUNTIFS(#REF!,"ATB6",#REF!,"&lt;&gt;NV")</f>
        <v>#REF!</v>
      </c>
      <c r="I30" s="10"/>
      <c r="J30" s="46" t="e" cm="1">
        <f t="array" ref="J30">SUM(COUNTIFS(#REF!,"ATB6",#REF!,{"1","2","3","4"}))</f>
        <v>#REF!</v>
      </c>
      <c r="K30" s="10"/>
      <c r="L30" s="16" t="e">
        <f>J30/H30</f>
        <v>#REF!</v>
      </c>
      <c r="M30" s="10"/>
      <c r="N30" s="16">
        <f>$F$1</f>
        <v>0.5</v>
      </c>
      <c r="O30" s="8"/>
      <c r="P30" s="46" t="e">
        <f>COUNTIFS(#REF!,"ATB6",#REF!,3)+COUNTIFS(#REF!,"ATB6",#REF!,4)</f>
        <v>#REF!</v>
      </c>
      <c r="Q30" s="10"/>
      <c r="R30" s="16">
        <f t="shared" si="10"/>
        <v>0</v>
      </c>
      <c r="S30" s="10"/>
      <c r="T30" s="40">
        <f t="shared" si="11"/>
        <v>0.9</v>
      </c>
      <c r="U30" s="8"/>
    </row>
    <row r="31" spans="1:21" ht="15.75" x14ac:dyDescent="0.25">
      <c r="A31" s="502"/>
      <c r="B31" s="504" t="s">
        <v>12</v>
      </c>
      <c r="C31" s="504"/>
      <c r="D31" s="504"/>
      <c r="E31" s="504"/>
      <c r="F31" s="504"/>
      <c r="G31" s="15"/>
      <c r="H31" s="46" t="e">
        <f>(COUNTIFS(#REF!,"ATB6",#REF!,"&lt;&gt;NV"))</f>
        <v>#REF!</v>
      </c>
      <c r="I31" s="10"/>
      <c r="J31" s="46" t="e" cm="1">
        <f t="array" ref="J31">SUM(COUNTIFS(#REF!,"ATB6",#REF!,{"1","2","3","4"}))</f>
        <v>#REF!</v>
      </c>
      <c r="K31" s="10"/>
      <c r="L31" s="16" t="e">
        <f>J31/H31</f>
        <v>#REF!</v>
      </c>
      <c r="M31" s="10"/>
      <c r="N31" s="16">
        <f>$F$1</f>
        <v>0.5</v>
      </c>
      <c r="O31" s="8"/>
      <c r="P31" s="46" t="e">
        <f>COUNTIFS(#REF!,"ATB6",#REF!,3)+COUNTIFS(#REF!,"ATB6",#REF!,4)</f>
        <v>#REF!</v>
      </c>
      <c r="Q31" s="10"/>
      <c r="R31" s="16">
        <f t="shared" si="10"/>
        <v>0</v>
      </c>
      <c r="S31" s="10"/>
      <c r="T31" s="40">
        <f t="shared" si="11"/>
        <v>0.9</v>
      </c>
      <c r="U31" s="8"/>
    </row>
    <row r="32" spans="1:21" x14ac:dyDescent="0.25">
      <c r="A32" s="503"/>
      <c r="B32" s="504" t="s">
        <v>13</v>
      </c>
      <c r="C32" s="504"/>
      <c r="D32" s="504"/>
      <c r="E32" s="504"/>
      <c r="F32" s="504"/>
      <c r="G32" s="8"/>
      <c r="H32" s="46" t="e">
        <f>H29+H30+H31</f>
        <v>#REF!</v>
      </c>
      <c r="I32" s="10"/>
      <c r="J32" s="46" t="e">
        <f>SUM(J29:J31)</f>
        <v>#REF!</v>
      </c>
      <c r="K32" s="10"/>
      <c r="L32" s="16" t="e">
        <f>J32/H32</f>
        <v>#REF!</v>
      </c>
      <c r="M32" s="10"/>
      <c r="N32" s="16">
        <f>$F$1</f>
        <v>0.5</v>
      </c>
      <c r="O32" s="8"/>
      <c r="P32" s="46" t="e">
        <f>SUM(P29:P31)</f>
        <v>#REF!</v>
      </c>
      <c r="Q32" s="10"/>
      <c r="R32" s="16">
        <f t="shared" si="10"/>
        <v>0</v>
      </c>
      <c r="S32" s="10"/>
      <c r="T32" s="40">
        <f t="shared" si="11"/>
        <v>0.9</v>
      </c>
      <c r="U32" s="8"/>
    </row>
    <row r="33" spans="1:21" x14ac:dyDescent="0.25">
      <c r="H33"/>
      <c r="J33"/>
      <c r="P33"/>
    </row>
    <row r="34" spans="1:21" ht="15.75" x14ac:dyDescent="0.25">
      <c r="A34" s="502" t="s">
        <v>19</v>
      </c>
      <c r="B34" s="504" t="s">
        <v>10</v>
      </c>
      <c r="C34" s="504"/>
      <c r="D34" s="504"/>
      <c r="E34" s="504"/>
      <c r="F34" s="504"/>
      <c r="G34" s="15"/>
      <c r="H34" s="46" t="e">
        <f>COUNTIFS(#REF!,"ATB7",#REF!,"&lt;&gt;NV")</f>
        <v>#REF!</v>
      </c>
      <c r="I34" s="10"/>
      <c r="J34" s="46" t="e" cm="1">
        <f t="array" ref="J34">SUM(COUNTIFS(#REF!,"ATB7",#REF!,{"1","2","3","4"}))</f>
        <v>#REF!</v>
      </c>
      <c r="K34" s="10"/>
      <c r="L34" s="16" t="e">
        <f>J34/H34</f>
        <v>#REF!</v>
      </c>
      <c r="M34" s="10"/>
      <c r="N34" s="16">
        <f>$F$1</f>
        <v>0.5</v>
      </c>
      <c r="O34" s="8"/>
      <c r="P34" s="46" t="e">
        <f>COUNTIFS(#REF!,"ATB7",#REF!,3)+COUNTIFS(#REF!,"ATB7",#REF!,4)</f>
        <v>#REF!</v>
      </c>
      <c r="Q34" s="10"/>
      <c r="R34" s="16">
        <f t="shared" ref="R34:R37" si="12">IFERROR(P34/J34,0)</f>
        <v>0</v>
      </c>
      <c r="S34" s="10"/>
      <c r="T34" s="40">
        <f t="shared" ref="T34:T37" si="13">$Q$1</f>
        <v>0.9</v>
      </c>
      <c r="U34" s="8"/>
    </row>
    <row r="35" spans="1:21" ht="15.75" x14ac:dyDescent="0.25">
      <c r="A35" s="502"/>
      <c r="B35" s="504" t="s">
        <v>11</v>
      </c>
      <c r="C35" s="504"/>
      <c r="D35" s="504"/>
      <c r="E35" s="504"/>
      <c r="F35" s="504"/>
      <c r="G35" s="15"/>
      <c r="H35" s="46" t="e">
        <f>COUNTIFS(#REF!,"ATB7",#REF!,"&lt;&gt;NV")</f>
        <v>#REF!</v>
      </c>
      <c r="I35" s="10"/>
      <c r="J35" s="46" t="e" cm="1">
        <f t="array" ref="J35">SUM(COUNTIFS(#REF!,"ATB7",#REF!,{"1","2","3","4"}))</f>
        <v>#REF!</v>
      </c>
      <c r="K35" s="10"/>
      <c r="L35" s="16" t="e">
        <f>J35/H35</f>
        <v>#REF!</v>
      </c>
      <c r="M35" s="10"/>
      <c r="N35" s="16">
        <f t="shared" ref="N35:N37" si="14">$F$1</f>
        <v>0.5</v>
      </c>
      <c r="O35" s="8"/>
      <c r="P35" s="46" t="e">
        <f>COUNTIFS(#REF!,"ATB7",#REF!,3)+COUNTIFS(#REF!,"ATB7",#REF!,4)</f>
        <v>#REF!</v>
      </c>
      <c r="Q35" s="10"/>
      <c r="R35" s="16">
        <f t="shared" si="12"/>
        <v>0</v>
      </c>
      <c r="S35" s="10"/>
      <c r="T35" s="40">
        <f t="shared" si="13"/>
        <v>0.9</v>
      </c>
      <c r="U35" s="8"/>
    </row>
    <row r="36" spans="1:21" ht="15.75" x14ac:dyDescent="0.25">
      <c r="A36" s="502"/>
      <c r="B36" s="504" t="s">
        <v>12</v>
      </c>
      <c r="C36" s="504"/>
      <c r="D36" s="504"/>
      <c r="E36" s="504"/>
      <c r="F36" s="504"/>
      <c r="G36" s="15"/>
      <c r="H36" s="46" t="e">
        <f>(COUNTIFS(#REF!,"ATB7",#REF!,"&lt;&gt;NV"))</f>
        <v>#REF!</v>
      </c>
      <c r="I36" s="10"/>
      <c r="J36" s="46" t="e" cm="1">
        <f t="array" ref="J36">SUM(COUNTIFS(#REF!,"ATB7",#REF!,{"1","2","3","4"}))</f>
        <v>#REF!</v>
      </c>
      <c r="K36" s="10"/>
      <c r="L36" s="16" t="e">
        <f>J36/H36</f>
        <v>#REF!</v>
      </c>
      <c r="M36" s="10"/>
      <c r="N36" s="16">
        <f t="shared" si="14"/>
        <v>0.5</v>
      </c>
      <c r="O36" s="8"/>
      <c r="P36" s="46" t="e">
        <f>COUNTIFS(#REF!,"ATB7",#REF!,3)+COUNTIFS(#REF!,"ATB7",#REF!,4)</f>
        <v>#REF!</v>
      </c>
      <c r="Q36" s="10"/>
      <c r="R36" s="16">
        <f t="shared" si="12"/>
        <v>0</v>
      </c>
      <c r="S36" s="10"/>
      <c r="T36" s="40">
        <f t="shared" si="13"/>
        <v>0.9</v>
      </c>
      <c r="U36" s="8"/>
    </row>
    <row r="37" spans="1:21" x14ac:dyDescent="0.25">
      <c r="A37" s="503"/>
      <c r="B37" s="504" t="s">
        <v>13</v>
      </c>
      <c r="C37" s="504"/>
      <c r="D37" s="504"/>
      <c r="E37" s="504"/>
      <c r="F37" s="504"/>
      <c r="G37" s="8"/>
      <c r="H37" s="46" t="e">
        <f>H34+H35+H36</f>
        <v>#REF!</v>
      </c>
      <c r="I37" s="10"/>
      <c r="J37" s="46" t="e">
        <f>J34+J35+J36</f>
        <v>#REF!</v>
      </c>
      <c r="K37" s="10"/>
      <c r="L37" s="16" t="e">
        <f>J37/H37</f>
        <v>#REF!</v>
      </c>
      <c r="M37" s="10"/>
      <c r="N37" s="16">
        <f t="shared" si="14"/>
        <v>0.5</v>
      </c>
      <c r="O37" s="8"/>
      <c r="P37" s="46" t="e">
        <f>SUM(P34:P36)</f>
        <v>#REF!</v>
      </c>
      <c r="Q37" s="10"/>
      <c r="R37" s="16">
        <f t="shared" si="12"/>
        <v>0</v>
      </c>
      <c r="S37" s="10"/>
      <c r="T37" s="40">
        <f t="shared" si="13"/>
        <v>0.9</v>
      </c>
      <c r="U37" s="8"/>
    </row>
    <row r="38" spans="1:21" x14ac:dyDescent="0.25">
      <c r="H38"/>
      <c r="J38"/>
      <c r="P38"/>
    </row>
    <row r="39" spans="1:21" ht="15.75" x14ac:dyDescent="0.25">
      <c r="A39" s="502" t="s">
        <v>20</v>
      </c>
      <c r="B39" s="507" t="s">
        <v>10</v>
      </c>
      <c r="C39" s="508"/>
      <c r="D39" s="508"/>
      <c r="E39" s="508"/>
      <c r="F39" s="509"/>
      <c r="G39" s="15"/>
      <c r="H39" s="46" t="e">
        <f>COUNTIFS(#REF!,"ATB9",#REF!,"&lt;&gt;NV")</f>
        <v>#REF!</v>
      </c>
      <c r="I39" s="10"/>
      <c r="J39" s="46" t="e" cm="1">
        <f t="array" ref="J39">SUM(COUNTIFS(#REF!,"ATB9",#REF!,{"1","2","3","4"}))</f>
        <v>#REF!</v>
      </c>
      <c r="K39" s="10"/>
      <c r="L39" s="16" t="e">
        <f>J39/H39</f>
        <v>#REF!</v>
      </c>
      <c r="M39" s="10"/>
      <c r="N39" s="16">
        <f t="shared" ref="N39:N42" si="15">$F$1</f>
        <v>0.5</v>
      </c>
      <c r="O39" s="8"/>
      <c r="P39" s="46" t="e">
        <f>COUNTIFS(#REF!,"ATB9",#REF!,3)+COUNTIFS(#REF!,"ATB9",#REF!,4)</f>
        <v>#REF!</v>
      </c>
      <c r="Q39" s="10"/>
      <c r="R39" s="16">
        <f t="shared" ref="R39:R42" si="16">IFERROR(P39/J39,0)</f>
        <v>0</v>
      </c>
      <c r="S39" s="10"/>
      <c r="T39" s="40">
        <f t="shared" ref="T39:T42" si="17">$Q$1</f>
        <v>0.9</v>
      </c>
      <c r="U39" s="8"/>
    </row>
    <row r="40" spans="1:21" ht="15.75" x14ac:dyDescent="0.25">
      <c r="A40" s="502"/>
      <c r="B40" s="507" t="s">
        <v>11</v>
      </c>
      <c r="C40" s="508"/>
      <c r="D40" s="508"/>
      <c r="E40" s="508"/>
      <c r="F40" s="509"/>
      <c r="G40" s="15"/>
      <c r="H40" s="46" t="e">
        <f>COUNTIFS(#REF!,"ATB9",#REF!,"&lt;&gt;NV")</f>
        <v>#REF!</v>
      </c>
      <c r="I40" s="10"/>
      <c r="J40" s="46" t="e" cm="1">
        <f t="array" ref="J40">SUM(COUNTIFS(#REF!,"ATB9",#REF!,{"1","2","3","4"}))</f>
        <v>#REF!</v>
      </c>
      <c r="K40" s="10"/>
      <c r="L40" s="16" t="e">
        <f>J40/H40</f>
        <v>#REF!</v>
      </c>
      <c r="M40" s="10"/>
      <c r="N40" s="16">
        <f t="shared" si="15"/>
        <v>0.5</v>
      </c>
      <c r="O40" s="8"/>
      <c r="P40" s="46" t="e">
        <f>COUNTIFS(#REF!,"ATB9",#REF!,3)+COUNTIFS(#REF!,"ATB9",#REF!,4)</f>
        <v>#REF!</v>
      </c>
      <c r="Q40" s="10"/>
      <c r="R40" s="16">
        <f t="shared" si="16"/>
        <v>0</v>
      </c>
      <c r="S40" s="10"/>
      <c r="T40" s="40">
        <f t="shared" si="17"/>
        <v>0.9</v>
      </c>
      <c r="U40" s="8"/>
    </row>
    <row r="41" spans="1:21" ht="15.75" x14ac:dyDescent="0.25">
      <c r="A41" s="502"/>
      <c r="B41" s="507" t="s">
        <v>12</v>
      </c>
      <c r="C41" s="508"/>
      <c r="D41" s="508"/>
      <c r="E41" s="508"/>
      <c r="F41" s="509"/>
      <c r="G41" s="15"/>
      <c r="H41" s="46" t="e">
        <f>(COUNTIFS(#REF!,"ATB9",#REF!,"&lt;&gt;NV"))</f>
        <v>#REF!</v>
      </c>
      <c r="I41" s="10"/>
      <c r="J41" s="46" t="e" cm="1">
        <f t="array" ref="J41">SUM(COUNTIFS(#REF!,"ATB9",#REF!,{"1","2","3","4"}))</f>
        <v>#REF!</v>
      </c>
      <c r="K41" s="10"/>
      <c r="L41" s="16" t="e">
        <f>J41/H41</f>
        <v>#REF!</v>
      </c>
      <c r="M41" s="10"/>
      <c r="N41" s="16">
        <f t="shared" si="15"/>
        <v>0.5</v>
      </c>
      <c r="O41" s="8"/>
      <c r="P41" s="46" t="e">
        <f>COUNTIFS(#REF!,"ATB9",#REF!,3)+COUNTIFS(#REF!,"ATB9",#REF!,4)</f>
        <v>#REF!</v>
      </c>
      <c r="Q41" s="10"/>
      <c r="R41" s="16">
        <f t="shared" si="16"/>
        <v>0</v>
      </c>
      <c r="S41" s="10"/>
      <c r="T41" s="40">
        <f t="shared" si="17"/>
        <v>0.9</v>
      </c>
      <c r="U41" s="8"/>
    </row>
    <row r="42" spans="1:21" x14ac:dyDescent="0.25">
      <c r="A42" s="502"/>
      <c r="B42" s="507" t="s">
        <v>13</v>
      </c>
      <c r="C42" s="508"/>
      <c r="D42" s="508"/>
      <c r="E42" s="508"/>
      <c r="F42" s="509"/>
      <c r="G42" s="8"/>
      <c r="H42" s="46" t="e">
        <f>H39+H40+H41</f>
        <v>#REF!</v>
      </c>
      <c r="I42" s="10"/>
      <c r="J42" s="46" t="e">
        <f>J39+J40+J41</f>
        <v>#REF!</v>
      </c>
      <c r="K42" s="10"/>
      <c r="L42" s="16" t="e">
        <f>J42/H42</f>
        <v>#REF!</v>
      </c>
      <c r="M42" s="10"/>
      <c r="N42" s="16">
        <f t="shared" si="15"/>
        <v>0.5</v>
      </c>
      <c r="O42" s="8"/>
      <c r="P42" s="46" t="e">
        <f>SUM(P39:P41)</f>
        <v>#REF!</v>
      </c>
      <c r="Q42" s="10"/>
      <c r="R42" s="16">
        <f t="shared" si="16"/>
        <v>0</v>
      </c>
      <c r="S42" s="10"/>
      <c r="T42" s="40">
        <f t="shared" si="17"/>
        <v>0.9</v>
      </c>
      <c r="U42" s="8"/>
    </row>
    <row r="43" spans="1:21" x14ac:dyDescent="0.25">
      <c r="H43"/>
      <c r="J43"/>
      <c r="P43"/>
    </row>
    <row r="44" spans="1:21" ht="15.75" x14ac:dyDescent="0.25">
      <c r="A44" s="505" t="s">
        <v>21</v>
      </c>
      <c r="B44" s="504" t="s">
        <v>10</v>
      </c>
      <c r="C44" s="504"/>
      <c r="D44" s="504"/>
      <c r="E44" s="504"/>
      <c r="F44" s="504"/>
      <c r="G44" s="15"/>
      <c r="H44" s="46" t="e">
        <f>COUNTIFS(#REF!,"ATB10",#REF!,"&lt;&gt;NV")</f>
        <v>#REF!</v>
      </c>
      <c r="I44" s="10"/>
      <c r="J44" s="46" t="e" cm="1">
        <f t="array" ref="J44">SUM(COUNTIFS(#REF!,"ATB10",#REF!,{"1","2","3","4"}))</f>
        <v>#REF!</v>
      </c>
      <c r="K44" s="10"/>
      <c r="L44" s="16" t="e">
        <f>J44/H44</f>
        <v>#REF!</v>
      </c>
      <c r="M44" s="10"/>
      <c r="N44" s="16">
        <f>$F$1</f>
        <v>0.5</v>
      </c>
      <c r="O44" s="8"/>
      <c r="P44" s="46" t="e">
        <f>COUNTIFS(#REF!,"ATB10",#REF!,3)+COUNTIFS(#REF!,"ATB10",#REF!,4)</f>
        <v>#REF!</v>
      </c>
      <c r="Q44" s="10"/>
      <c r="R44" s="16">
        <f t="shared" ref="R44:R47" si="18">IFERROR(P44/J44,0)</f>
        <v>0</v>
      </c>
      <c r="S44" s="10"/>
      <c r="T44" s="40">
        <f t="shared" ref="T44:T47" si="19">$Q$1</f>
        <v>0.9</v>
      </c>
      <c r="U44" s="8"/>
    </row>
    <row r="45" spans="1:21" ht="15.75" x14ac:dyDescent="0.25">
      <c r="A45" s="505"/>
      <c r="B45" s="504" t="s">
        <v>11</v>
      </c>
      <c r="C45" s="504"/>
      <c r="D45" s="504"/>
      <c r="E45" s="504"/>
      <c r="F45" s="504"/>
      <c r="G45" s="15"/>
      <c r="H45" s="46" t="e">
        <f>COUNTIFS(#REF!,"ATB10",#REF!,"&lt;&gt;NV")</f>
        <v>#REF!</v>
      </c>
      <c r="I45" s="10"/>
      <c r="J45" s="46" t="e" cm="1">
        <f t="array" ref="J45">SUM(COUNTIFS(#REF!,"ATB10",#REF!,{"1","2","3","4"}))</f>
        <v>#REF!</v>
      </c>
      <c r="K45" s="10"/>
      <c r="L45" s="16" t="e">
        <f>J45/H45</f>
        <v>#REF!</v>
      </c>
      <c r="M45" s="10"/>
      <c r="N45" s="16">
        <f>$F$1</f>
        <v>0.5</v>
      </c>
      <c r="O45" s="8"/>
      <c r="P45" s="46" t="e">
        <f>COUNTIFS(#REF!,"ATB10",#REF!,3)+COUNTIFS(#REF!,"ATB10",#REF!,4)</f>
        <v>#REF!</v>
      </c>
      <c r="Q45" s="10"/>
      <c r="R45" s="16">
        <f t="shared" si="18"/>
        <v>0</v>
      </c>
      <c r="S45" s="10"/>
      <c r="T45" s="40">
        <f t="shared" si="19"/>
        <v>0.9</v>
      </c>
      <c r="U45" s="8"/>
    </row>
    <row r="46" spans="1:21" ht="15.75" x14ac:dyDescent="0.25">
      <c r="A46" s="505"/>
      <c r="B46" s="504" t="s">
        <v>12</v>
      </c>
      <c r="C46" s="504"/>
      <c r="D46" s="504"/>
      <c r="E46" s="504"/>
      <c r="F46" s="504"/>
      <c r="G46" s="15"/>
      <c r="H46" s="46" t="e">
        <f>(COUNTIFS(#REF!,"ATB10",#REF!,"&lt;&gt;NV"))</f>
        <v>#REF!</v>
      </c>
      <c r="I46" s="10"/>
      <c r="J46" s="46" t="e" cm="1">
        <f t="array" ref="J46">SUM(COUNTIFS(#REF!,"ATB10",#REF!,{"1","2","3","4"}))</f>
        <v>#REF!</v>
      </c>
      <c r="K46" s="10"/>
      <c r="L46" s="16" t="e">
        <f>J46/H46</f>
        <v>#REF!</v>
      </c>
      <c r="M46" s="10"/>
      <c r="N46" s="16">
        <f>$F$1</f>
        <v>0.5</v>
      </c>
      <c r="O46" s="8"/>
      <c r="P46" s="46" t="e">
        <f>COUNTIFS(#REF!,"ATB10",#REF!,3)+COUNTIFS(#REF!,"ATB10",#REF!,4)</f>
        <v>#REF!</v>
      </c>
      <c r="Q46" s="10"/>
      <c r="R46" s="16">
        <f t="shared" si="18"/>
        <v>0</v>
      </c>
      <c r="S46" s="10"/>
      <c r="T46" s="40">
        <f t="shared" si="19"/>
        <v>0.9</v>
      </c>
      <c r="U46" s="8"/>
    </row>
    <row r="47" spans="1:21" x14ac:dyDescent="0.25">
      <c r="A47" s="506"/>
      <c r="B47" s="504" t="s">
        <v>13</v>
      </c>
      <c r="C47" s="504"/>
      <c r="D47" s="504"/>
      <c r="E47" s="504"/>
      <c r="F47" s="504"/>
      <c r="G47" s="8"/>
      <c r="H47" s="46" t="e">
        <f>H44+H45+H46</f>
        <v>#REF!</v>
      </c>
      <c r="I47" s="10"/>
      <c r="J47" s="46" t="e">
        <f>J44+J45+J46</f>
        <v>#REF!</v>
      </c>
      <c r="K47" s="10"/>
      <c r="L47" s="16" t="e">
        <f>J47/H47</f>
        <v>#REF!</v>
      </c>
      <c r="M47" s="10"/>
      <c r="N47" s="16">
        <f>$F$1</f>
        <v>0.5</v>
      </c>
      <c r="O47" s="8"/>
      <c r="P47" s="46" t="e">
        <f>SUM(P44:P46)</f>
        <v>#REF!</v>
      </c>
      <c r="Q47" s="10"/>
      <c r="R47" s="16">
        <f t="shared" si="18"/>
        <v>0</v>
      </c>
      <c r="S47" s="10"/>
      <c r="T47" s="40">
        <f t="shared" si="19"/>
        <v>0.9</v>
      </c>
      <c r="U47" s="8"/>
    </row>
    <row r="48" spans="1:21" x14ac:dyDescent="0.25">
      <c r="H48"/>
      <c r="J48"/>
      <c r="P48"/>
    </row>
    <row r="49" spans="1:21" ht="15.75" customHeight="1" x14ac:dyDescent="0.25">
      <c r="A49" s="502" t="s">
        <v>22</v>
      </c>
      <c r="B49" s="504" t="s">
        <v>10</v>
      </c>
      <c r="C49" s="504"/>
      <c r="D49" s="504"/>
      <c r="E49" s="504"/>
      <c r="F49" s="504"/>
      <c r="G49" s="15"/>
      <c r="H49" s="46" t="e">
        <f>COUNTIFS(#REF!,"ATB13",#REF!,"&lt;&gt;NV")</f>
        <v>#REF!</v>
      </c>
      <c r="I49" s="10"/>
      <c r="J49" s="46" t="e" cm="1">
        <f t="array" ref="J49">SUM(COUNTIFS(#REF!,"ATB13",#REF!,{"1","2","3","4"}))</f>
        <v>#REF!</v>
      </c>
      <c r="K49" s="10"/>
      <c r="L49" s="16" t="e">
        <f>J49/H49</f>
        <v>#REF!</v>
      </c>
      <c r="M49" s="10"/>
      <c r="N49" s="16">
        <f>$F$1</f>
        <v>0.5</v>
      </c>
      <c r="O49" s="8"/>
      <c r="P49" s="46" t="e">
        <f>COUNTIFS(#REF!,"ATB13",#REF!,3)+COUNTIFS(#REF!,"ATB13",#REF!,4)</f>
        <v>#REF!</v>
      </c>
      <c r="Q49" s="10"/>
      <c r="R49" s="16">
        <f t="shared" ref="R49:R52" si="20">IFERROR(P49/J49,0)</f>
        <v>0</v>
      </c>
      <c r="S49" s="10"/>
      <c r="T49" s="40">
        <f t="shared" ref="T49:T52" si="21">$Q$1</f>
        <v>0.9</v>
      </c>
      <c r="U49" s="8"/>
    </row>
    <row r="50" spans="1:21" ht="15.75" x14ac:dyDescent="0.25">
      <c r="A50" s="502"/>
      <c r="B50" s="504" t="s">
        <v>11</v>
      </c>
      <c r="C50" s="504"/>
      <c r="D50" s="504"/>
      <c r="E50" s="504"/>
      <c r="F50" s="504"/>
      <c r="G50" s="15"/>
      <c r="H50" s="46" t="e">
        <f>COUNTIFS(#REF!,"ATB13",#REF!,"&lt;&gt;NV")</f>
        <v>#REF!</v>
      </c>
      <c r="I50" s="10"/>
      <c r="J50" s="46" t="e" cm="1">
        <f t="array" ref="J50">SUM(COUNTIFS(#REF!,"ATB13",#REF!,{"1","2","3","4"}))</f>
        <v>#REF!</v>
      </c>
      <c r="K50" s="10"/>
      <c r="L50" s="16" t="e">
        <f>J50/H50</f>
        <v>#REF!</v>
      </c>
      <c r="M50" s="10"/>
      <c r="N50" s="16">
        <f>$F$1</f>
        <v>0.5</v>
      </c>
      <c r="O50" s="8"/>
      <c r="P50" s="46" t="e">
        <f>COUNTIFS(#REF!,"ATB13",#REF!,3)+COUNTIFS(#REF!,"ATB13",#REF!,4)</f>
        <v>#REF!</v>
      </c>
      <c r="Q50" s="10"/>
      <c r="R50" s="16">
        <f t="shared" si="20"/>
        <v>0</v>
      </c>
      <c r="S50" s="10"/>
      <c r="T50" s="40">
        <f t="shared" si="21"/>
        <v>0.9</v>
      </c>
      <c r="U50" s="8"/>
    </row>
    <row r="51" spans="1:21" ht="15.75" x14ac:dyDescent="0.25">
      <c r="A51" s="502"/>
      <c r="B51" s="504" t="s">
        <v>12</v>
      </c>
      <c r="C51" s="504"/>
      <c r="D51" s="504"/>
      <c r="E51" s="504"/>
      <c r="F51" s="504"/>
      <c r="G51" s="15"/>
      <c r="H51" s="46" t="e">
        <f>(COUNTIFS(#REF!,"ATB13",#REF!,"&lt;&gt;NV"))</f>
        <v>#REF!</v>
      </c>
      <c r="I51" s="10"/>
      <c r="J51" s="46" t="e" cm="1">
        <f t="array" ref="J51">SUM(COUNTIFS(#REF!,"ATB13",#REF!,{"1","2","3","4"}))</f>
        <v>#REF!</v>
      </c>
      <c r="K51" s="10"/>
      <c r="L51" s="16" t="e">
        <f>J51/H51</f>
        <v>#REF!</v>
      </c>
      <c r="M51" s="10"/>
      <c r="N51" s="16">
        <f>$F$1</f>
        <v>0.5</v>
      </c>
      <c r="O51" s="8"/>
      <c r="P51" s="46" t="e">
        <f>COUNTIFS(#REF!,"ATB13",#REF!,3)+COUNTIFS(#REF!,"ATB13",#REF!,4)</f>
        <v>#REF!</v>
      </c>
      <c r="Q51" s="10"/>
      <c r="R51" s="16">
        <f t="shared" si="20"/>
        <v>0</v>
      </c>
      <c r="S51" s="10"/>
      <c r="T51" s="40">
        <f t="shared" si="21"/>
        <v>0.9</v>
      </c>
      <c r="U51" s="8"/>
    </row>
    <row r="52" spans="1:21" x14ac:dyDescent="0.25">
      <c r="A52" s="503"/>
      <c r="B52" s="504" t="s">
        <v>13</v>
      </c>
      <c r="C52" s="504"/>
      <c r="D52" s="504"/>
      <c r="E52" s="504"/>
      <c r="F52" s="504"/>
      <c r="G52" s="8"/>
      <c r="H52" s="46" t="e">
        <f>H49+H50+H51</f>
        <v>#REF!</v>
      </c>
      <c r="I52" s="10"/>
      <c r="J52" s="46" t="e">
        <f>J49+J50+J51</f>
        <v>#REF!</v>
      </c>
      <c r="K52" s="10"/>
      <c r="L52" s="16" t="e">
        <f>J52/H52</f>
        <v>#REF!</v>
      </c>
      <c r="M52" s="10"/>
      <c r="N52" s="16">
        <f>$F$1</f>
        <v>0.5</v>
      </c>
      <c r="O52" s="8"/>
      <c r="P52" s="46" t="e">
        <f>SUM(P49:P51)</f>
        <v>#REF!</v>
      </c>
      <c r="Q52" s="10"/>
      <c r="R52" s="16">
        <f t="shared" si="20"/>
        <v>0</v>
      </c>
      <c r="S52" s="10"/>
      <c r="T52" s="40">
        <f t="shared" si="21"/>
        <v>0.9</v>
      </c>
      <c r="U52" s="8"/>
    </row>
    <row r="53" spans="1:21" ht="15.75" customHeight="1" x14ac:dyDescent="0.25">
      <c r="H53"/>
      <c r="J53"/>
      <c r="P53"/>
    </row>
    <row r="54" spans="1:21" ht="15.75" customHeight="1" x14ac:dyDescent="0.25">
      <c r="A54" s="505" t="s">
        <v>23</v>
      </c>
      <c r="B54" s="504" t="s">
        <v>10</v>
      </c>
      <c r="C54" s="504"/>
      <c r="D54" s="504"/>
      <c r="E54" s="504"/>
      <c r="F54" s="504"/>
      <c r="G54" s="15"/>
      <c r="H54" s="46" t="e">
        <f>COUNTIFS(#REF!,"ATB14",#REF!,"&lt;&gt;NV")</f>
        <v>#REF!</v>
      </c>
      <c r="I54" s="10"/>
      <c r="J54" s="46" t="e" cm="1">
        <f t="array" ref="J54">SUM(COUNTIFS(#REF!,"ATB14",#REF!,{"1","2","3","4"}))</f>
        <v>#REF!</v>
      </c>
      <c r="K54" s="10"/>
      <c r="L54" s="16" t="e">
        <f>J54/H54</f>
        <v>#REF!</v>
      </c>
      <c r="M54" s="10"/>
      <c r="N54" s="16">
        <f>$F$1</f>
        <v>0.5</v>
      </c>
      <c r="O54" s="8"/>
      <c r="P54" s="46" t="e">
        <f>COUNTIFS(#REF!,"ATB14",#REF!,3)+COUNTIFS(#REF!,"ATB14",#REF!,4)</f>
        <v>#REF!</v>
      </c>
      <c r="Q54" s="10"/>
      <c r="R54" s="16">
        <f t="shared" ref="R54:R57" si="22">IFERROR(P54/J54,0)</f>
        <v>0</v>
      </c>
      <c r="S54" s="10"/>
      <c r="T54" s="40">
        <f t="shared" ref="T54:T57" si="23">$Q$1</f>
        <v>0.9</v>
      </c>
      <c r="U54" s="8"/>
    </row>
    <row r="55" spans="1:21" ht="15.75" customHeight="1" x14ac:dyDescent="0.25">
      <c r="A55" s="505"/>
      <c r="B55" s="504" t="s">
        <v>11</v>
      </c>
      <c r="C55" s="504"/>
      <c r="D55" s="504"/>
      <c r="E55" s="504"/>
      <c r="F55" s="504"/>
      <c r="G55" s="15"/>
      <c r="H55" s="46" t="e">
        <f>COUNTIFS(#REF!,"ATB14",#REF!,"&lt;&gt;NV")</f>
        <v>#REF!</v>
      </c>
      <c r="I55" s="10"/>
      <c r="J55" s="46" t="e" cm="1">
        <f t="array" ref="J55">SUM(COUNTIFS(#REF!,"ATB14",#REF!,{"1","2","3","4"}))</f>
        <v>#REF!</v>
      </c>
      <c r="K55" s="10"/>
      <c r="L55" s="16" t="e">
        <f>J55/H55</f>
        <v>#REF!</v>
      </c>
      <c r="M55" s="10"/>
      <c r="N55" s="16">
        <f>$F$1</f>
        <v>0.5</v>
      </c>
      <c r="O55" s="8"/>
      <c r="P55" s="46" t="e">
        <f>COUNTIFS(#REF!,"ATB14",#REF!,3)+COUNTIFS(#REF!,"ATB14",#REF!,4)</f>
        <v>#REF!</v>
      </c>
      <c r="Q55" s="10"/>
      <c r="R55" s="16">
        <f t="shared" si="22"/>
        <v>0</v>
      </c>
      <c r="S55" s="10"/>
      <c r="T55" s="40">
        <f t="shared" si="23"/>
        <v>0.9</v>
      </c>
      <c r="U55" s="8"/>
    </row>
    <row r="56" spans="1:21" ht="15.75" customHeight="1" x14ac:dyDescent="0.25">
      <c r="A56" s="505"/>
      <c r="B56" s="504" t="s">
        <v>12</v>
      </c>
      <c r="C56" s="504"/>
      <c r="D56" s="504"/>
      <c r="E56" s="504"/>
      <c r="F56" s="504"/>
      <c r="G56" s="15"/>
      <c r="H56" s="46" t="e">
        <f>(COUNTIFS(#REF!,"ATB14",#REF!,"&lt;&gt;NV"))</f>
        <v>#REF!</v>
      </c>
      <c r="I56" s="10"/>
      <c r="J56" s="46" t="e" cm="1">
        <f t="array" ref="J56">SUM(COUNTIFS(#REF!,"ATB14",#REF!,{"1","2","3","4"}))</f>
        <v>#REF!</v>
      </c>
      <c r="K56" s="10"/>
      <c r="L56" s="16" t="e">
        <f>J56/H56</f>
        <v>#REF!</v>
      </c>
      <c r="M56" s="10"/>
      <c r="N56" s="16">
        <f>$F$1</f>
        <v>0.5</v>
      </c>
      <c r="O56" s="8"/>
      <c r="P56" s="46" t="e">
        <f>COUNTIFS(#REF!,"ATB14",#REF!,3)+COUNTIFS(#REF!,"ATB14",#REF!,4)</f>
        <v>#REF!</v>
      </c>
      <c r="Q56" s="10"/>
      <c r="R56" s="16">
        <f t="shared" si="22"/>
        <v>0</v>
      </c>
      <c r="S56" s="10"/>
      <c r="T56" s="40">
        <f t="shared" si="23"/>
        <v>0.9</v>
      </c>
      <c r="U56" s="8"/>
    </row>
    <row r="57" spans="1:21" ht="15.75" customHeight="1" x14ac:dyDescent="0.25">
      <c r="A57" s="506"/>
      <c r="B57" s="504" t="s">
        <v>13</v>
      </c>
      <c r="C57" s="504"/>
      <c r="D57" s="504"/>
      <c r="E57" s="504"/>
      <c r="F57" s="504"/>
      <c r="G57" s="8"/>
      <c r="H57" s="46" t="e">
        <f>H54+H55+H56</f>
        <v>#REF!</v>
      </c>
      <c r="I57" s="10"/>
      <c r="J57" s="46" t="e">
        <f>J54+J55+J56</f>
        <v>#REF!</v>
      </c>
      <c r="K57" s="10"/>
      <c r="L57" s="16" t="e">
        <f>J57/H57</f>
        <v>#REF!</v>
      </c>
      <c r="M57" s="10"/>
      <c r="N57" s="16">
        <f>$F$1</f>
        <v>0.5</v>
      </c>
      <c r="O57" s="8"/>
      <c r="P57" s="46" t="e">
        <f>SUM(P54:P56)</f>
        <v>#REF!</v>
      </c>
      <c r="Q57" s="10"/>
      <c r="R57" s="16">
        <f t="shared" si="22"/>
        <v>0</v>
      </c>
      <c r="S57" s="10"/>
      <c r="T57" s="40">
        <f t="shared" si="23"/>
        <v>0.9</v>
      </c>
      <c r="U57" s="8"/>
    </row>
    <row r="58" spans="1:21" ht="15.75" customHeight="1" x14ac:dyDescent="0.25">
      <c r="H58"/>
      <c r="J58"/>
      <c r="P58"/>
    </row>
    <row r="59" spans="1:21" ht="15.75" customHeight="1" x14ac:dyDescent="0.25">
      <c r="A59" s="510" t="s">
        <v>24</v>
      </c>
      <c r="B59" s="504" t="s">
        <v>10</v>
      </c>
      <c r="C59" s="504"/>
      <c r="D59" s="504"/>
      <c r="E59" s="504"/>
      <c r="F59" s="504"/>
      <c r="H59" s="46" t="e">
        <f>COUNTIFS(#REF!,"ATB18",#REF!,"&lt;&gt;NV")</f>
        <v>#REF!</v>
      </c>
      <c r="J59" s="46" t="e" cm="1">
        <f t="array" ref="J59">SUM(COUNTIFS(#REF!,"ATB18",#REF!,{"1","2","3","4"}))</f>
        <v>#REF!</v>
      </c>
      <c r="K59" s="10"/>
      <c r="L59" s="16" t="e">
        <f>J59/H59</f>
        <v>#REF!</v>
      </c>
      <c r="M59" s="10"/>
      <c r="N59" s="16">
        <f>$F$1</f>
        <v>0.5</v>
      </c>
      <c r="O59" s="8"/>
      <c r="P59" s="46" t="e">
        <f>COUNTIFS(#REF!,"ATB18",#REF!,3)+COUNTIFS(#REF!,"ATB18",#REF!,4)</f>
        <v>#REF!</v>
      </c>
      <c r="Q59" s="10"/>
      <c r="R59" s="16">
        <f t="shared" ref="R59:R62" si="24">IFERROR(P59/J59,0)</f>
        <v>0</v>
      </c>
      <c r="S59" s="10"/>
      <c r="T59" s="40">
        <f t="shared" ref="T59:T62" si="25">$Q$1</f>
        <v>0.9</v>
      </c>
    </row>
    <row r="60" spans="1:21" ht="15.75" customHeight="1" x14ac:dyDescent="0.25">
      <c r="A60" s="510"/>
      <c r="B60" s="504" t="s">
        <v>11</v>
      </c>
      <c r="C60" s="504"/>
      <c r="D60" s="504"/>
      <c r="E60" s="504"/>
      <c r="F60" s="504"/>
      <c r="H60" s="46" t="e">
        <f>COUNTIFS(#REF!,"ATB18",#REF!,"&lt;&gt;NV")</f>
        <v>#REF!</v>
      </c>
      <c r="J60" s="46" t="e" cm="1">
        <f t="array" ref="J60">SUM(COUNTIFS(#REF!,"ATB18",#REF!,{"1","2","3","4"}))</f>
        <v>#REF!</v>
      </c>
      <c r="K60" s="10"/>
      <c r="L60" s="16" t="e">
        <f>J60/H60</f>
        <v>#REF!</v>
      </c>
      <c r="M60" s="10"/>
      <c r="N60" s="16">
        <f>$F$1</f>
        <v>0.5</v>
      </c>
      <c r="O60" s="8"/>
      <c r="P60" s="46" t="e">
        <f>COUNTIFS(#REF!,"ATB18",#REF!,3)+COUNTIFS(#REF!,"ATB18",#REF!,4)</f>
        <v>#REF!</v>
      </c>
      <c r="Q60" s="10"/>
      <c r="R60" s="16">
        <f t="shared" si="24"/>
        <v>0</v>
      </c>
      <c r="S60" s="10"/>
      <c r="T60" s="40">
        <f t="shared" si="25"/>
        <v>0.9</v>
      </c>
    </row>
    <row r="61" spans="1:21" ht="15.75" customHeight="1" x14ac:dyDescent="0.25">
      <c r="A61" s="510"/>
      <c r="B61" s="504" t="s">
        <v>12</v>
      </c>
      <c r="C61" s="504"/>
      <c r="D61" s="504"/>
      <c r="E61" s="504"/>
      <c r="F61" s="504"/>
      <c r="H61" s="46" t="e">
        <f>(COUNTIFS(#REF!,"ATB18",#REF!,"&lt;&gt;NV"))</f>
        <v>#REF!</v>
      </c>
      <c r="J61" s="46" t="e" cm="1">
        <f t="array" ref="J61">SUM(COUNTIFS(#REF!,"ATB18",#REF!,{"1","2","3","4"}))</f>
        <v>#REF!</v>
      </c>
      <c r="K61" s="10"/>
      <c r="L61" s="16" t="e">
        <f>J61/H61</f>
        <v>#REF!</v>
      </c>
      <c r="M61" s="10"/>
      <c r="N61" s="16">
        <f>$F$1</f>
        <v>0.5</v>
      </c>
      <c r="O61" s="8"/>
      <c r="P61" s="46" t="e">
        <f>COUNTIFS(#REF!,"ATB18",#REF!,3)+COUNTIFS(#REF!,"ATB18",#REF!,4)</f>
        <v>#REF!</v>
      </c>
      <c r="Q61" s="10"/>
      <c r="R61" s="16">
        <f t="shared" si="24"/>
        <v>0</v>
      </c>
      <c r="S61" s="10"/>
      <c r="T61" s="40">
        <f t="shared" si="25"/>
        <v>0.9</v>
      </c>
    </row>
    <row r="62" spans="1:21" ht="15.75" customHeight="1" x14ac:dyDescent="0.25">
      <c r="A62" s="511"/>
      <c r="B62" s="504" t="s">
        <v>13</v>
      </c>
      <c r="C62" s="504"/>
      <c r="D62" s="504"/>
      <c r="E62" s="504"/>
      <c r="F62" s="504"/>
      <c r="H62" s="144" t="e">
        <f>SUM(H59:H61)</f>
        <v>#REF!</v>
      </c>
      <c r="J62" s="46" t="e">
        <f>J59+J60+J61</f>
        <v>#REF!</v>
      </c>
      <c r="K62" s="10"/>
      <c r="L62" s="16" t="e">
        <f>J62/H62</f>
        <v>#REF!</v>
      </c>
      <c r="M62" s="10"/>
      <c r="N62" s="16">
        <f>$F$1</f>
        <v>0.5</v>
      </c>
      <c r="O62" s="8"/>
      <c r="P62" s="46" t="e">
        <f>SUM(P59:P61)</f>
        <v>#REF!</v>
      </c>
      <c r="Q62" s="10"/>
      <c r="R62" s="16">
        <f t="shared" si="24"/>
        <v>0</v>
      </c>
      <c r="S62" s="10"/>
      <c r="T62" s="40">
        <f t="shared" si="25"/>
        <v>0.9</v>
      </c>
    </row>
    <row r="63" spans="1:21" ht="16.5" customHeight="1" x14ac:dyDescent="0.25">
      <c r="H63"/>
      <c r="J63"/>
      <c r="P63"/>
    </row>
    <row r="64" spans="1:21" ht="16.5" customHeight="1" x14ac:dyDescent="0.25">
      <c r="A64" s="510" t="s">
        <v>25</v>
      </c>
      <c r="B64" s="507" t="s">
        <v>10</v>
      </c>
      <c r="C64" s="508"/>
      <c r="D64" s="508"/>
      <c r="E64" s="508"/>
      <c r="F64" s="509"/>
      <c r="H64" s="46" t="e">
        <f>COUNTIFS(#REF!,"ATB19",#REF!,"&lt;&gt;NV")</f>
        <v>#REF!</v>
      </c>
      <c r="J64" s="46" t="e" cm="1">
        <f t="array" ref="J64">SUM(COUNTIFS(#REF!,"ATB19",#REF!,{"1","2","3","4"}))</f>
        <v>#REF!</v>
      </c>
      <c r="K64" s="10"/>
      <c r="L64" s="16" t="e">
        <f>J64/H64</f>
        <v>#REF!</v>
      </c>
      <c r="M64" s="10"/>
      <c r="N64" s="16">
        <f>$F$1</f>
        <v>0.5</v>
      </c>
      <c r="O64" s="8"/>
      <c r="P64" s="46" t="e">
        <f>COUNTIFS(#REF!,"ATB19",#REF!,3)+COUNTIFS(#REF!,"ATB19",#REF!,4)</f>
        <v>#REF!</v>
      </c>
      <c r="Q64" s="10"/>
      <c r="R64" s="16">
        <f t="shared" ref="R64:R67" si="26">IFERROR(P64/J64,0)</f>
        <v>0</v>
      </c>
      <c r="S64" s="10"/>
      <c r="T64" s="40">
        <f t="shared" ref="T64:T67" si="27">$Q$1</f>
        <v>0.9</v>
      </c>
    </row>
    <row r="65" spans="1:21" ht="16.5" customHeight="1" x14ac:dyDescent="0.25">
      <c r="A65" s="510"/>
      <c r="B65" s="507" t="s">
        <v>11</v>
      </c>
      <c r="C65" s="508"/>
      <c r="D65" s="508"/>
      <c r="E65" s="508"/>
      <c r="F65" s="509"/>
      <c r="H65" s="46" t="e">
        <f>COUNTIFS(#REF!,"ATB19",#REF!,"&lt;&gt;NV")</f>
        <v>#REF!</v>
      </c>
      <c r="J65" s="46" t="e" cm="1">
        <f t="array" ref="J65">SUM(COUNTIFS(#REF!,"ATB19",#REF!,{"1","2","3","4"}))</f>
        <v>#REF!</v>
      </c>
      <c r="K65" s="10"/>
      <c r="L65" s="16" t="e">
        <f>J65/H65</f>
        <v>#REF!</v>
      </c>
      <c r="M65" s="10"/>
      <c r="N65" s="16">
        <f>$F$1</f>
        <v>0.5</v>
      </c>
      <c r="O65" s="8"/>
      <c r="P65" s="46" t="e">
        <f>COUNTIFS(#REF!,"ATB19",#REF!,3)+COUNTIFS(#REF!,"ATB19",#REF!,4)</f>
        <v>#REF!</v>
      </c>
      <c r="Q65" s="10"/>
      <c r="R65" s="16">
        <f t="shared" si="26"/>
        <v>0</v>
      </c>
      <c r="S65" s="10"/>
      <c r="T65" s="40">
        <f t="shared" si="27"/>
        <v>0.9</v>
      </c>
    </row>
    <row r="66" spans="1:21" ht="15.75" customHeight="1" x14ac:dyDescent="0.25">
      <c r="A66" s="510"/>
      <c r="B66" s="507" t="s">
        <v>12</v>
      </c>
      <c r="C66" s="508"/>
      <c r="D66" s="508"/>
      <c r="E66" s="508"/>
      <c r="F66" s="509"/>
      <c r="H66" s="46" t="e">
        <f>(COUNTIFS(#REF!,"ATB19",#REF!,"&lt;&gt;NV"))</f>
        <v>#REF!</v>
      </c>
      <c r="J66" s="46" t="e" cm="1">
        <f t="array" ref="J66">SUM(COUNTIFS(#REF!,"ATB19",#REF!,{"1","2","3","4"}))</f>
        <v>#REF!</v>
      </c>
      <c r="K66" s="10"/>
      <c r="L66" s="16" t="e">
        <f>J66/H66</f>
        <v>#REF!</v>
      </c>
      <c r="M66" s="10"/>
      <c r="N66" s="16">
        <f>$F$1</f>
        <v>0.5</v>
      </c>
      <c r="O66" s="8"/>
      <c r="P66" s="46" t="e">
        <f>COUNTIFS(#REF!,"ATB19",#REF!,3)+COUNTIFS(#REF!,"ATB19",#REF!,4)</f>
        <v>#REF!</v>
      </c>
      <c r="Q66" s="10"/>
      <c r="R66" s="16">
        <f t="shared" si="26"/>
        <v>0</v>
      </c>
      <c r="S66" s="10"/>
      <c r="T66" s="40">
        <f t="shared" si="27"/>
        <v>0.9</v>
      </c>
    </row>
    <row r="67" spans="1:21" ht="15.75" customHeight="1" x14ac:dyDescent="0.25">
      <c r="A67" s="510"/>
      <c r="B67" s="507" t="s">
        <v>13</v>
      </c>
      <c r="C67" s="508"/>
      <c r="D67" s="508"/>
      <c r="E67" s="508"/>
      <c r="F67" s="509"/>
      <c r="H67" s="144">
        <v>3</v>
      </c>
      <c r="J67" s="46" t="e">
        <f>J64+J65+J66</f>
        <v>#REF!</v>
      </c>
      <c r="K67" s="10"/>
      <c r="L67" s="16" t="e">
        <f>J67/H67</f>
        <v>#REF!</v>
      </c>
      <c r="M67" s="10"/>
      <c r="N67" s="16">
        <f>$F$1</f>
        <v>0.5</v>
      </c>
      <c r="O67" s="8"/>
      <c r="P67" s="46" t="e">
        <f>SUM(P64:P66)</f>
        <v>#REF!</v>
      </c>
      <c r="Q67" s="10"/>
      <c r="R67" s="16">
        <f t="shared" si="26"/>
        <v>0</v>
      </c>
      <c r="S67" s="10"/>
      <c r="T67" s="40">
        <f t="shared" si="27"/>
        <v>0.9</v>
      </c>
    </row>
    <row r="68" spans="1:21" ht="15.75" customHeight="1" x14ac:dyDescent="0.25">
      <c r="H68"/>
      <c r="J68"/>
      <c r="P68"/>
    </row>
    <row r="69" spans="1:21" ht="15.75" customHeight="1" x14ac:dyDescent="0.25">
      <c r="A69" s="510" t="s">
        <v>26</v>
      </c>
      <c r="B69" s="507" t="s">
        <v>10</v>
      </c>
      <c r="C69" s="508"/>
      <c r="D69" s="508"/>
      <c r="E69" s="508"/>
      <c r="F69" s="509"/>
      <c r="H69" s="46" t="e">
        <f>COUNTIFS(#REF!,"East Team 1",#REF!,"&lt;&gt;NV")</f>
        <v>#REF!</v>
      </c>
      <c r="J69" s="46" t="e" cm="1">
        <f t="array" ref="J69">SUM(COUNTIFS(#REF!,"East Team 1",#REF!,{"1","2","3","4"}))</f>
        <v>#REF!</v>
      </c>
      <c r="K69" s="10"/>
      <c r="L69" s="16" t="e">
        <f>J69/H69</f>
        <v>#REF!</v>
      </c>
      <c r="M69" s="10"/>
      <c r="N69" s="16">
        <f>$F$1</f>
        <v>0.5</v>
      </c>
      <c r="O69" s="8"/>
      <c r="P69" s="46" t="e">
        <f>COUNTIFS(#REF!,"East Team 1",#REF!,3)+COUNTIFS(#REF!,"East Team 1",#REF!,4)</f>
        <v>#REF!</v>
      </c>
      <c r="Q69" s="10"/>
      <c r="R69" s="16">
        <f t="shared" ref="R69:R72" si="28">IFERROR(P69/J69,0)</f>
        <v>0</v>
      </c>
      <c r="S69" s="10"/>
      <c r="T69" s="40">
        <f t="shared" ref="T69:T72" si="29">$Q$1</f>
        <v>0.9</v>
      </c>
      <c r="U69" s="8"/>
    </row>
    <row r="70" spans="1:21" ht="15.75" customHeight="1" x14ac:dyDescent="0.25">
      <c r="A70" s="510"/>
      <c r="B70" s="507" t="s">
        <v>11</v>
      </c>
      <c r="C70" s="508"/>
      <c r="D70" s="508"/>
      <c r="E70" s="508"/>
      <c r="F70" s="509"/>
      <c r="H70" s="46" t="e">
        <f>COUNTIFS(#REF!,"East Team 1",#REF!,"&lt;&gt;NV")</f>
        <v>#REF!</v>
      </c>
      <c r="J70" s="46" t="e" cm="1">
        <f t="array" ref="J70">SUM(COUNTIFS(#REF!,"East Team 1",#REF!,{"1","2","3","4"}))</f>
        <v>#REF!</v>
      </c>
      <c r="K70" s="10"/>
      <c r="L70" s="16" t="e">
        <f>J70/H70</f>
        <v>#REF!</v>
      </c>
      <c r="M70" s="10"/>
      <c r="N70" s="16">
        <f>$F$1</f>
        <v>0.5</v>
      </c>
      <c r="O70" s="8"/>
      <c r="P70" s="46" t="e">
        <f>COUNTIFS(#REF!,"East Team 1",#REF!,3)+COUNTIFS(#REF!,"East Team 1",#REF!,4)</f>
        <v>#REF!</v>
      </c>
      <c r="Q70" s="10"/>
      <c r="R70" s="16">
        <f t="shared" si="28"/>
        <v>0</v>
      </c>
      <c r="S70" s="10"/>
      <c r="T70" s="40">
        <f t="shared" si="29"/>
        <v>0.9</v>
      </c>
      <c r="U70" s="8"/>
    </row>
    <row r="71" spans="1:21" ht="15.75" customHeight="1" x14ac:dyDescent="0.25">
      <c r="A71" s="510"/>
      <c r="B71" s="507" t="s">
        <v>12</v>
      </c>
      <c r="C71" s="508"/>
      <c r="D71" s="508"/>
      <c r="E71" s="508"/>
      <c r="F71" s="509"/>
      <c r="H71" s="46" t="e">
        <f>(COUNTIFS(#REF!,"East Team 1",#REF!,"&lt;&gt;NV"))</f>
        <v>#REF!</v>
      </c>
      <c r="J71" s="46" t="e" cm="1">
        <f t="array" ref="J71">SUM(COUNTIFS(#REF!,"East Team 1",#REF!,{"1","2","3","4"}))</f>
        <v>#REF!</v>
      </c>
      <c r="K71" s="10"/>
      <c r="L71" s="16" t="e">
        <f>J71/H71</f>
        <v>#REF!</v>
      </c>
      <c r="M71" s="10"/>
      <c r="N71" s="16">
        <f>$F$1</f>
        <v>0.5</v>
      </c>
      <c r="O71" s="8"/>
      <c r="P71" s="46" t="e">
        <f>COUNTIFS(#REF!,"East Team 1",#REF!,3)+COUNTIFS(#REF!,"East Team 1",#REF!,4)</f>
        <v>#REF!</v>
      </c>
      <c r="Q71" s="10"/>
      <c r="R71" s="16">
        <f t="shared" si="28"/>
        <v>0</v>
      </c>
      <c r="S71" s="10"/>
      <c r="T71" s="40">
        <f t="shared" si="29"/>
        <v>0.9</v>
      </c>
      <c r="U71" s="8"/>
    </row>
    <row r="72" spans="1:21" ht="15.75" customHeight="1" x14ac:dyDescent="0.25">
      <c r="A72" s="511"/>
      <c r="B72" s="504" t="s">
        <v>13</v>
      </c>
      <c r="C72" s="504"/>
      <c r="D72" s="504"/>
      <c r="E72" s="504"/>
      <c r="F72" s="504"/>
      <c r="H72" s="66" t="e">
        <f>SUM(H69:H71)</f>
        <v>#REF!</v>
      </c>
      <c r="J72" s="46" t="e">
        <f>J69+J70+J71</f>
        <v>#REF!</v>
      </c>
      <c r="K72" s="10"/>
      <c r="L72" s="16" t="e">
        <f>J72/H72</f>
        <v>#REF!</v>
      </c>
      <c r="M72" s="10"/>
      <c r="N72" s="16">
        <f>$F$1</f>
        <v>0.5</v>
      </c>
      <c r="O72" s="8"/>
      <c r="P72" s="46" t="e">
        <f>SUM(P69:P71)</f>
        <v>#REF!</v>
      </c>
      <c r="Q72" s="10"/>
      <c r="R72" s="16">
        <f t="shared" si="28"/>
        <v>0</v>
      </c>
      <c r="S72" s="10"/>
      <c r="T72" s="40">
        <f t="shared" si="29"/>
        <v>0.9</v>
      </c>
      <c r="U72" s="8"/>
    </row>
    <row r="73" spans="1:21" ht="15.75" customHeight="1" x14ac:dyDescent="0.25">
      <c r="H73"/>
      <c r="J73"/>
      <c r="P73"/>
    </row>
    <row r="74" spans="1:21" ht="15.75" customHeight="1" x14ac:dyDescent="0.25">
      <c r="A74" s="510" t="s">
        <v>27</v>
      </c>
      <c r="B74" s="504" t="s">
        <v>10</v>
      </c>
      <c r="C74" s="504"/>
      <c r="D74" s="504"/>
      <c r="E74" s="504"/>
      <c r="F74" s="504"/>
      <c r="H74" s="46" t="e">
        <f>COUNTIFS(#REF!,"East Team 2",#REF!,"&lt;&gt;NV")</f>
        <v>#REF!</v>
      </c>
      <c r="J74" s="46" t="e" cm="1">
        <f t="array" ref="J74">SUM(COUNTIFS(#REF!,"East Team 2",#REF!,{"1","2","3","4"}))</f>
        <v>#REF!</v>
      </c>
      <c r="K74" s="10"/>
      <c r="L74" s="16" t="e">
        <f>J74/H74</f>
        <v>#REF!</v>
      </c>
      <c r="M74" s="10"/>
      <c r="N74" s="16">
        <f>$F$1</f>
        <v>0.5</v>
      </c>
      <c r="O74" s="8"/>
      <c r="P74" s="46" t="e">
        <f>COUNTIFS(#REF!,"East Team 2",#REF!,3)+COUNTIFS(#REF!,"East Team 2",#REF!,4)</f>
        <v>#REF!</v>
      </c>
      <c r="Q74" s="10"/>
      <c r="R74" s="16">
        <f t="shared" ref="R74:R77" si="30">IFERROR(P74/J74,0)</f>
        <v>0</v>
      </c>
      <c r="S74" s="10"/>
      <c r="T74" s="40">
        <f t="shared" ref="T74:T77" si="31">$Q$1</f>
        <v>0.9</v>
      </c>
      <c r="U74" s="8"/>
    </row>
    <row r="75" spans="1:21" ht="15.75" customHeight="1" x14ac:dyDescent="0.25">
      <c r="A75" s="512"/>
      <c r="B75" s="504" t="s">
        <v>11</v>
      </c>
      <c r="C75" s="504"/>
      <c r="D75" s="504"/>
      <c r="E75" s="504"/>
      <c r="F75" s="504"/>
      <c r="H75" s="46" t="e">
        <f>COUNTIFS(#REF!,"East Team 2",#REF!,"&lt;&gt;NV")</f>
        <v>#REF!</v>
      </c>
      <c r="J75" s="46" t="e" cm="1">
        <f t="array" ref="J75">SUM(COUNTIFS(#REF!,"East Team 2",#REF!,{"1","2","3","4"}))</f>
        <v>#REF!</v>
      </c>
      <c r="K75" s="10"/>
      <c r="L75" s="16" t="e">
        <f>J75/H75</f>
        <v>#REF!</v>
      </c>
      <c r="M75" s="10"/>
      <c r="N75" s="16">
        <f>$F$1</f>
        <v>0.5</v>
      </c>
      <c r="O75" s="8"/>
      <c r="P75" s="46" t="e">
        <f>COUNTIFS(#REF!,"East Team 2",#REF!,3)+COUNTIFS(#REF!,"East Team 2",#REF!,4)</f>
        <v>#REF!</v>
      </c>
      <c r="Q75" s="10"/>
      <c r="R75" s="16">
        <f t="shared" si="30"/>
        <v>0</v>
      </c>
      <c r="S75" s="10"/>
      <c r="T75" s="40">
        <f t="shared" si="31"/>
        <v>0.9</v>
      </c>
      <c r="U75" s="8"/>
    </row>
    <row r="76" spans="1:21" ht="15.75" customHeight="1" x14ac:dyDescent="0.25">
      <c r="A76" s="512"/>
      <c r="B76" s="504" t="s">
        <v>12</v>
      </c>
      <c r="C76" s="504"/>
      <c r="D76" s="504"/>
      <c r="E76" s="504"/>
      <c r="F76" s="504"/>
      <c r="H76" s="46" t="e">
        <f>(COUNTIFS(#REF!,"East Team 2",#REF!,"&lt;&gt;NV"))</f>
        <v>#REF!</v>
      </c>
      <c r="J76" s="46" t="e" cm="1">
        <f t="array" ref="J76">SUM(COUNTIFS(#REF!,"East Team 2",#REF!,{"1","2","3","4"}))</f>
        <v>#REF!</v>
      </c>
      <c r="K76" s="10"/>
      <c r="L76" s="16" t="e">
        <f>J76/H76</f>
        <v>#REF!</v>
      </c>
      <c r="M76" s="10"/>
      <c r="N76" s="16">
        <f>$F$1</f>
        <v>0.5</v>
      </c>
      <c r="O76" s="8"/>
      <c r="P76" s="46" t="e">
        <f>COUNTIFS(#REF!,"East Team 2",#REF!,3)+COUNTIFS(#REF!,"East Team 2",#REF!,4)</f>
        <v>#REF!</v>
      </c>
      <c r="Q76" s="10"/>
      <c r="R76" s="16">
        <f t="shared" si="30"/>
        <v>0</v>
      </c>
      <c r="S76" s="10"/>
      <c r="T76" s="40">
        <f t="shared" si="31"/>
        <v>0.9</v>
      </c>
      <c r="U76" s="8"/>
    </row>
    <row r="77" spans="1:21" ht="15.75" customHeight="1" x14ac:dyDescent="0.25">
      <c r="A77" s="513"/>
      <c r="B77" s="504" t="s">
        <v>13</v>
      </c>
      <c r="C77" s="504"/>
      <c r="D77" s="504"/>
      <c r="E77" s="504"/>
      <c r="F77" s="504"/>
      <c r="H77" s="144" t="e">
        <f>SUM(H74:H76)</f>
        <v>#REF!</v>
      </c>
      <c r="J77" s="46" t="e">
        <f>J74+J75+J76</f>
        <v>#REF!</v>
      </c>
      <c r="K77" s="10"/>
      <c r="L77" s="16" t="e">
        <f>J77/H77</f>
        <v>#REF!</v>
      </c>
      <c r="M77" s="10"/>
      <c r="N77" s="16">
        <f>$F$1</f>
        <v>0.5</v>
      </c>
      <c r="O77" s="8"/>
      <c r="P77" s="46" t="e">
        <f>SUM(P74:P76)</f>
        <v>#REF!</v>
      </c>
      <c r="Q77" s="10"/>
      <c r="R77" s="16">
        <f t="shared" si="30"/>
        <v>0</v>
      </c>
      <c r="S77" s="10"/>
      <c r="T77" s="40">
        <f t="shared" si="31"/>
        <v>0.9</v>
      </c>
      <c r="U77" s="8"/>
    </row>
    <row r="78" spans="1:21" ht="15.75" customHeight="1" x14ac:dyDescent="0.25">
      <c r="H78"/>
      <c r="J78"/>
      <c r="P78"/>
    </row>
    <row r="79" spans="1:21" ht="15.75" customHeight="1" x14ac:dyDescent="0.25">
      <c r="A79" s="510" t="s">
        <v>28</v>
      </c>
      <c r="B79" s="504" t="s">
        <v>10</v>
      </c>
      <c r="C79" s="504"/>
      <c r="D79" s="504"/>
      <c r="E79" s="504"/>
      <c r="F79" s="504"/>
      <c r="H79" s="46" t="e">
        <f>COUNTIFS(#REF!,"East Team 3",#REF!,"&lt;&gt;NV")</f>
        <v>#REF!</v>
      </c>
      <c r="J79" s="46" t="e" cm="1">
        <f t="array" ref="J79">SUM(COUNTIFS(#REF!,"East Team 3",#REF!,{"1","2","3","4"}))</f>
        <v>#REF!</v>
      </c>
      <c r="K79" s="10"/>
      <c r="L79" s="16" t="e">
        <f>J79/H79</f>
        <v>#REF!</v>
      </c>
      <c r="M79" s="10"/>
      <c r="N79" s="16">
        <f>$F$1</f>
        <v>0.5</v>
      </c>
      <c r="O79" s="8"/>
      <c r="P79" s="46" t="e">
        <f>COUNTIFS(#REF!,"East Team 3",#REF!,3)+COUNTIFS(#REF!,"East Team 3",#REF!,4)</f>
        <v>#REF!</v>
      </c>
      <c r="Q79" s="10"/>
      <c r="R79" s="16">
        <f t="shared" ref="R79:R82" si="32">IFERROR(P79/J79,0)</f>
        <v>0</v>
      </c>
      <c r="S79" s="10"/>
      <c r="T79" s="40">
        <f t="shared" ref="T79:T82" si="33">$Q$1</f>
        <v>0.9</v>
      </c>
      <c r="U79" s="8"/>
    </row>
    <row r="80" spans="1:21" ht="15.75" customHeight="1" x14ac:dyDescent="0.25">
      <c r="A80" s="512"/>
      <c r="B80" s="504" t="s">
        <v>11</v>
      </c>
      <c r="C80" s="504"/>
      <c r="D80" s="504"/>
      <c r="E80" s="504"/>
      <c r="F80" s="504"/>
      <c r="H80" s="46" t="e">
        <f>COUNTIFS(#REF!,"East Team 3",#REF!,"&lt;&gt;NV")</f>
        <v>#REF!</v>
      </c>
      <c r="J80" s="46" t="e" cm="1">
        <f t="array" ref="J80">SUM(COUNTIFS(#REF!,"East Team 3",#REF!,{"1","2","3","4"}))</f>
        <v>#REF!</v>
      </c>
      <c r="K80" s="10"/>
      <c r="L80" s="16" t="e">
        <f>J80/H80</f>
        <v>#REF!</v>
      </c>
      <c r="M80" s="10"/>
      <c r="N80" s="16">
        <f>$F$1</f>
        <v>0.5</v>
      </c>
      <c r="O80" s="8"/>
      <c r="P80" s="46" t="e">
        <f>COUNTIFS(#REF!,"East Team 3",#REF!,3)+COUNTIFS(#REF!,"East Team 3",#REF!,4)</f>
        <v>#REF!</v>
      </c>
      <c r="Q80" s="10"/>
      <c r="R80" s="16">
        <f t="shared" si="32"/>
        <v>0</v>
      </c>
      <c r="S80" s="10"/>
      <c r="T80" s="40">
        <f t="shared" si="33"/>
        <v>0.9</v>
      </c>
      <c r="U80" s="8"/>
    </row>
    <row r="81" spans="1:21" ht="15.75" customHeight="1" x14ac:dyDescent="0.25">
      <c r="A81" s="512"/>
      <c r="B81" s="504" t="s">
        <v>12</v>
      </c>
      <c r="C81" s="504"/>
      <c r="D81" s="504"/>
      <c r="E81" s="504"/>
      <c r="F81" s="504"/>
      <c r="H81" s="46" t="e">
        <f>(COUNTIFS(#REF!,"East Team 3",#REF!,"&lt;&gt;NV"))</f>
        <v>#REF!</v>
      </c>
      <c r="J81" s="46" t="e" cm="1">
        <f t="array" ref="J81">SUM(COUNTIFS(#REF!,"East Team 3",#REF!,{"1","2","3","4"}))</f>
        <v>#REF!</v>
      </c>
      <c r="K81" s="10"/>
      <c r="L81" s="16" t="e">
        <f>J81/H81</f>
        <v>#REF!</v>
      </c>
      <c r="M81" s="10"/>
      <c r="N81" s="16">
        <f>$F$1</f>
        <v>0.5</v>
      </c>
      <c r="O81" s="8"/>
      <c r="P81" s="46" t="e">
        <f>COUNTIFS(#REF!,"East Team 3",#REF!,3)+COUNTIFS(#REF!,"East Team 3",#REF!,4)</f>
        <v>#REF!</v>
      </c>
      <c r="Q81" s="10"/>
      <c r="R81" s="16">
        <f t="shared" si="32"/>
        <v>0</v>
      </c>
      <c r="S81" s="10"/>
      <c r="T81" s="40">
        <f t="shared" si="33"/>
        <v>0.9</v>
      </c>
      <c r="U81" s="8"/>
    </row>
    <row r="82" spans="1:21" ht="15.75" customHeight="1" x14ac:dyDescent="0.25">
      <c r="A82" s="513"/>
      <c r="B82" s="504" t="s">
        <v>13</v>
      </c>
      <c r="C82" s="504"/>
      <c r="D82" s="504"/>
      <c r="E82" s="504"/>
      <c r="F82" s="504"/>
      <c r="H82" s="144" t="e">
        <f>SUM(H79:H81)</f>
        <v>#REF!</v>
      </c>
      <c r="J82" s="46" t="e">
        <f>J79+J80+J81</f>
        <v>#REF!</v>
      </c>
      <c r="K82" s="10"/>
      <c r="L82" s="16" t="e">
        <f>J82/H82</f>
        <v>#REF!</v>
      </c>
      <c r="M82" s="10"/>
      <c r="N82" s="16">
        <f>$F$1</f>
        <v>0.5</v>
      </c>
      <c r="O82" s="8"/>
      <c r="P82" s="46" t="e">
        <f>SUM(P79:P81)</f>
        <v>#REF!</v>
      </c>
      <c r="Q82" s="10"/>
      <c r="R82" s="16">
        <f t="shared" si="32"/>
        <v>0</v>
      </c>
      <c r="S82" s="10"/>
      <c r="T82" s="40">
        <f t="shared" si="33"/>
        <v>0.9</v>
      </c>
      <c r="U82" s="8"/>
    </row>
    <row r="83" spans="1:21" ht="15.75" customHeight="1" x14ac:dyDescent="0.25">
      <c r="H83"/>
      <c r="J83"/>
      <c r="P83"/>
    </row>
    <row r="84" spans="1:21" ht="15.75" customHeight="1" x14ac:dyDescent="0.25">
      <c r="A84" s="510" t="s">
        <v>29</v>
      </c>
      <c r="B84" s="504" t="s">
        <v>10</v>
      </c>
      <c r="C84" s="504"/>
      <c r="D84" s="504"/>
      <c r="E84" s="504"/>
      <c r="F84" s="504"/>
      <c r="H84" s="46" t="e">
        <f>COUNTIFS(#REF!,"East Team 4",#REF!,"&lt;&gt;NV")</f>
        <v>#REF!</v>
      </c>
      <c r="J84" s="46" t="e" cm="1">
        <f t="array" ref="J84">SUM(COUNTIFS(#REF!,"East Team 4",#REF!,{"1","2","3","4"}))</f>
        <v>#REF!</v>
      </c>
      <c r="K84" s="10"/>
      <c r="L84" s="16" t="e">
        <f>J84/H84</f>
        <v>#REF!</v>
      </c>
      <c r="M84" s="10"/>
      <c r="N84" s="16">
        <f>$F$1</f>
        <v>0.5</v>
      </c>
      <c r="O84" s="8"/>
      <c r="P84" s="46" t="e">
        <f>COUNTIFS(#REF!,"East Team 4",#REF!,3)+COUNTIFS(#REF!,"East Team 4",#REF!,4)</f>
        <v>#REF!</v>
      </c>
      <c r="Q84" s="10"/>
      <c r="R84" s="16">
        <f t="shared" ref="R84:R87" si="34">IFERROR(P84/J84,0)</f>
        <v>0</v>
      </c>
      <c r="S84" s="10"/>
      <c r="T84" s="40">
        <f t="shared" ref="T84:T87" si="35">$Q$1</f>
        <v>0.9</v>
      </c>
      <c r="U84" s="8"/>
    </row>
    <row r="85" spans="1:21" ht="15.75" customHeight="1" x14ac:dyDescent="0.25">
      <c r="A85" s="512"/>
      <c r="B85" s="504" t="s">
        <v>11</v>
      </c>
      <c r="C85" s="504"/>
      <c r="D85" s="504"/>
      <c r="E85" s="504"/>
      <c r="F85" s="504"/>
      <c r="H85" s="46" t="e">
        <f>COUNTIFS(#REF!,"East Team 4",#REF!,"&lt;&gt;NV")</f>
        <v>#REF!</v>
      </c>
      <c r="J85" s="46" t="e" cm="1">
        <f t="array" ref="J85">SUM(COUNTIFS(#REF!,"East Team 4",#REF!,{"1","2","3","4"}))</f>
        <v>#REF!</v>
      </c>
      <c r="K85" s="10"/>
      <c r="L85" s="16" t="e">
        <f>J85/H85</f>
        <v>#REF!</v>
      </c>
      <c r="M85" s="10"/>
      <c r="N85" s="16">
        <f>$F$1</f>
        <v>0.5</v>
      </c>
      <c r="O85" s="8"/>
      <c r="P85" s="46" t="e">
        <f>COUNTIFS(#REF!,"East Team 4",#REF!,3)+COUNTIFS(#REF!,"East Team 4",#REF!,4)</f>
        <v>#REF!</v>
      </c>
      <c r="Q85" s="10"/>
      <c r="R85" s="16">
        <f t="shared" si="34"/>
        <v>0</v>
      </c>
      <c r="S85" s="10"/>
      <c r="T85" s="40">
        <f t="shared" si="35"/>
        <v>0.9</v>
      </c>
      <c r="U85" s="8"/>
    </row>
    <row r="86" spans="1:21" ht="15.75" customHeight="1" x14ac:dyDescent="0.25">
      <c r="A86" s="512"/>
      <c r="B86" s="504" t="s">
        <v>12</v>
      </c>
      <c r="C86" s="504"/>
      <c r="D86" s="504"/>
      <c r="E86" s="504"/>
      <c r="F86" s="504"/>
      <c r="H86" s="46" t="e">
        <f>(COUNTIFS(#REF!,"East Team 4",#REF!,"&lt;&gt;NV"))</f>
        <v>#REF!</v>
      </c>
      <c r="J86" s="46" t="e" cm="1">
        <f t="array" ref="J86">SUM(COUNTIFS(#REF!,"East Team 4",#REF!,{"1","2","3","4"}))</f>
        <v>#REF!</v>
      </c>
      <c r="K86" s="10"/>
      <c r="L86" s="16" t="e">
        <f>J86/H86</f>
        <v>#REF!</v>
      </c>
      <c r="M86" s="10"/>
      <c r="N86" s="16">
        <f>$F$1</f>
        <v>0.5</v>
      </c>
      <c r="O86" s="8"/>
      <c r="P86" s="46" t="e">
        <f>COUNTIFS(#REF!,"East Team 4",#REF!,3)+COUNTIFS(#REF!,"East Team 4",#REF!,4)</f>
        <v>#REF!</v>
      </c>
      <c r="Q86" s="10"/>
      <c r="R86" s="16">
        <f t="shared" si="34"/>
        <v>0</v>
      </c>
      <c r="S86" s="10"/>
      <c r="T86" s="40">
        <f t="shared" si="35"/>
        <v>0.9</v>
      </c>
      <c r="U86" s="8"/>
    </row>
    <row r="87" spans="1:21" ht="15.75" customHeight="1" x14ac:dyDescent="0.25">
      <c r="A87" s="513"/>
      <c r="B87" s="504" t="s">
        <v>13</v>
      </c>
      <c r="C87" s="504"/>
      <c r="D87" s="504"/>
      <c r="E87" s="504"/>
      <c r="F87" s="504"/>
      <c r="H87" s="144" t="e">
        <f>SUM(H84:H86)</f>
        <v>#REF!</v>
      </c>
      <c r="J87" s="46" t="e">
        <f>J84+J85+J86</f>
        <v>#REF!</v>
      </c>
      <c r="K87" s="10"/>
      <c r="L87" s="16" t="e">
        <f>J87/H87</f>
        <v>#REF!</v>
      </c>
      <c r="M87" s="10"/>
      <c r="N87" s="16">
        <f>$F$1</f>
        <v>0.5</v>
      </c>
      <c r="O87" s="8"/>
      <c r="P87" s="46" t="e">
        <f>SUM(P84:P86)</f>
        <v>#REF!</v>
      </c>
      <c r="Q87" s="10"/>
      <c r="R87" s="16">
        <f t="shared" si="34"/>
        <v>0</v>
      </c>
      <c r="S87" s="10"/>
      <c r="T87" s="40">
        <f t="shared" si="35"/>
        <v>0.9</v>
      </c>
      <c r="U87" s="8"/>
    </row>
    <row r="88" spans="1:21" ht="15.75" customHeight="1" x14ac:dyDescent="0.25">
      <c r="H88"/>
      <c r="J88"/>
      <c r="P88"/>
    </row>
    <row r="89" spans="1:21" ht="15.75" customHeight="1" x14ac:dyDescent="0.25">
      <c r="A89" s="514" t="s">
        <v>30</v>
      </c>
      <c r="B89" s="504" t="s">
        <v>10</v>
      </c>
      <c r="C89" s="504"/>
      <c r="D89" s="504"/>
      <c r="E89" s="504"/>
      <c r="F89" s="504"/>
      <c r="H89" s="46" t="e">
        <f>COUNTIFS(#REF!,"North Team 1",#REF!,"&lt;&gt;NV")</f>
        <v>#REF!</v>
      </c>
      <c r="J89" s="46" t="e" cm="1">
        <f t="array" ref="J89">SUM(COUNTIFS(#REF!,"North Team 1",#REF!,{"1","2","3","4"}))</f>
        <v>#REF!</v>
      </c>
      <c r="K89" s="10"/>
      <c r="L89" s="16" t="e">
        <f>J89/H89</f>
        <v>#REF!</v>
      </c>
      <c r="M89" s="10"/>
      <c r="N89" s="16">
        <f>$F$1</f>
        <v>0.5</v>
      </c>
      <c r="O89" s="8"/>
      <c r="P89" s="46" t="e">
        <f>COUNTIFS(#REF!,"North Team 1",#REF!,3)+COUNTIFS(#REF!,"North Team 1",#REF!,4)</f>
        <v>#REF!</v>
      </c>
      <c r="Q89" s="10"/>
      <c r="R89" s="16">
        <f t="shared" ref="R89:R92" si="36">IFERROR(P89/J89,0)</f>
        <v>0</v>
      </c>
      <c r="S89" s="10"/>
      <c r="T89" s="40">
        <f t="shared" ref="T89:T92" si="37">$Q$1</f>
        <v>0.9</v>
      </c>
      <c r="U89" s="8"/>
    </row>
    <row r="90" spans="1:21" ht="15.75" customHeight="1" x14ac:dyDescent="0.25">
      <c r="A90" s="515"/>
      <c r="B90" s="504" t="s">
        <v>11</v>
      </c>
      <c r="C90" s="504"/>
      <c r="D90" s="504"/>
      <c r="E90" s="504"/>
      <c r="F90" s="504"/>
      <c r="H90" s="46" t="e">
        <f>COUNTIFS(#REF!,"North Team 1",#REF!,"&lt;&gt;NV")</f>
        <v>#REF!</v>
      </c>
      <c r="J90" s="46" t="e" cm="1">
        <f t="array" ref="J90">SUM(COUNTIFS(#REF!,"North Team 1",#REF!,{"1","2","3","4"}))</f>
        <v>#REF!</v>
      </c>
      <c r="K90" s="10"/>
      <c r="L90" s="16" t="e">
        <f>J90/H90</f>
        <v>#REF!</v>
      </c>
      <c r="M90" s="10"/>
      <c r="N90" s="16">
        <f>$F$1</f>
        <v>0.5</v>
      </c>
      <c r="O90" s="8"/>
      <c r="P90" s="46" t="e">
        <f>COUNTIFS(#REF!,"North Team 1",#REF!,3)+COUNTIFS(#REF!,"North Team 1",#REF!,4)</f>
        <v>#REF!</v>
      </c>
      <c r="Q90" s="10"/>
      <c r="R90" s="16">
        <f t="shared" si="36"/>
        <v>0</v>
      </c>
      <c r="S90" s="10"/>
      <c r="T90" s="40">
        <f t="shared" si="37"/>
        <v>0.9</v>
      </c>
      <c r="U90" s="8"/>
    </row>
    <row r="91" spans="1:21" ht="15.75" customHeight="1" x14ac:dyDescent="0.25">
      <c r="A91" s="515"/>
      <c r="B91" s="504" t="s">
        <v>12</v>
      </c>
      <c r="C91" s="504"/>
      <c r="D91" s="504"/>
      <c r="E91" s="504"/>
      <c r="F91" s="504"/>
      <c r="H91" s="46" t="e">
        <f>(COUNTIFS(#REF!,"North Team 1",#REF!,"&lt;&gt;NV"))</f>
        <v>#REF!</v>
      </c>
      <c r="J91" s="46" t="e" cm="1">
        <f t="array" ref="J91">SUM(COUNTIFS(#REF!,"North Team 1",#REF!,{"1","2","3","4"}))</f>
        <v>#REF!</v>
      </c>
      <c r="K91" s="10"/>
      <c r="L91" s="16" t="e">
        <f>J91/H91</f>
        <v>#REF!</v>
      </c>
      <c r="M91" s="10"/>
      <c r="N91" s="16">
        <f>$F$1</f>
        <v>0.5</v>
      </c>
      <c r="O91" s="8"/>
      <c r="P91" s="46" t="e">
        <f>COUNTIFS(#REF!,"North Team 1",#REF!,3)+COUNTIFS(#REF!,"North Team 1",#REF!,4)</f>
        <v>#REF!</v>
      </c>
      <c r="Q91" s="10"/>
      <c r="R91" s="16">
        <f t="shared" si="36"/>
        <v>0</v>
      </c>
      <c r="S91" s="10"/>
      <c r="T91" s="40">
        <f t="shared" si="37"/>
        <v>0.9</v>
      </c>
      <c r="U91" s="8"/>
    </row>
    <row r="92" spans="1:21" ht="15.75" customHeight="1" x14ac:dyDescent="0.25">
      <c r="A92" s="516"/>
      <c r="B92" s="504" t="s">
        <v>13</v>
      </c>
      <c r="C92" s="504"/>
      <c r="D92" s="504"/>
      <c r="E92" s="504"/>
      <c r="F92" s="504"/>
      <c r="H92" s="144" t="e">
        <f>SUM(H89:H91)</f>
        <v>#REF!</v>
      </c>
      <c r="J92" s="46" t="e">
        <f>J89+J90+J91</f>
        <v>#REF!</v>
      </c>
      <c r="K92" s="10"/>
      <c r="L92" s="16" t="e">
        <f>J92/H92</f>
        <v>#REF!</v>
      </c>
      <c r="M92" s="10"/>
      <c r="N92" s="16">
        <f>$F$1</f>
        <v>0.5</v>
      </c>
      <c r="O92" s="8"/>
      <c r="P92" s="46" t="e">
        <f>SUM(P89:P91)</f>
        <v>#REF!</v>
      </c>
      <c r="Q92" s="10"/>
      <c r="R92" s="16">
        <f t="shared" si="36"/>
        <v>0</v>
      </c>
      <c r="S92" s="10"/>
      <c r="T92" s="40">
        <f t="shared" si="37"/>
        <v>0.9</v>
      </c>
      <c r="U92" s="8"/>
    </row>
    <row r="93" spans="1:21" ht="15.75" customHeight="1" x14ac:dyDescent="0.25">
      <c r="H93"/>
      <c r="J93"/>
      <c r="P93"/>
    </row>
    <row r="94" spans="1:21" ht="15.75" customHeight="1" x14ac:dyDescent="0.25">
      <c r="A94" s="514" t="s">
        <v>31</v>
      </c>
      <c r="B94" s="504" t="s">
        <v>10</v>
      </c>
      <c r="C94" s="504"/>
      <c r="D94" s="504"/>
      <c r="E94" s="504"/>
      <c r="F94" s="504"/>
      <c r="H94" s="46" t="e">
        <f>COUNTIFS(#REF!,"North Team 2",#REF!,"&lt;&gt;NV")</f>
        <v>#REF!</v>
      </c>
      <c r="J94" s="46" t="e" cm="1">
        <f t="array" ref="J94">SUM(COUNTIFS(#REF!,"North Team 2",#REF!,{"1","2","3","4"}))</f>
        <v>#REF!</v>
      </c>
      <c r="K94" s="10"/>
      <c r="L94" s="16" t="e">
        <f>J94/H94</f>
        <v>#REF!</v>
      </c>
      <c r="M94" s="10"/>
      <c r="N94" s="16">
        <f>$F$1</f>
        <v>0.5</v>
      </c>
      <c r="O94" s="8"/>
      <c r="P94" s="46" t="e">
        <f>COUNTIFS(#REF!,"North Team 2",#REF!,3)+COUNTIFS(#REF!,"North Team 2",#REF!,4)</f>
        <v>#REF!</v>
      </c>
      <c r="Q94" s="10"/>
      <c r="R94" s="16">
        <f t="shared" ref="R94:R97" si="38">IFERROR(P94/J94,0)</f>
        <v>0</v>
      </c>
      <c r="S94" s="10"/>
      <c r="T94" s="40">
        <f t="shared" ref="T94:T97" si="39">$Q$1</f>
        <v>0.9</v>
      </c>
      <c r="U94" s="8"/>
    </row>
    <row r="95" spans="1:21" ht="15.75" customHeight="1" x14ac:dyDescent="0.25">
      <c r="A95" s="515"/>
      <c r="B95" s="504" t="s">
        <v>11</v>
      </c>
      <c r="C95" s="504"/>
      <c r="D95" s="504"/>
      <c r="E95" s="504"/>
      <c r="F95" s="504"/>
      <c r="H95" s="46" t="e">
        <f>COUNTIFS(#REF!,"North Team 2",#REF!,"&lt;&gt;NV")</f>
        <v>#REF!</v>
      </c>
      <c r="J95" s="46" t="e" cm="1">
        <f t="array" ref="J95">SUM(COUNTIFS(#REF!,"North Team 2",#REF!,{"1","2","3","4"}))</f>
        <v>#REF!</v>
      </c>
      <c r="K95" s="10"/>
      <c r="L95" s="16" t="e">
        <f>J95/H95</f>
        <v>#REF!</v>
      </c>
      <c r="M95" s="10"/>
      <c r="N95" s="16">
        <f>$F$1</f>
        <v>0.5</v>
      </c>
      <c r="O95" s="8"/>
      <c r="P95" s="46" t="e">
        <f>COUNTIFS(#REF!,"North Team 2",#REF!,3)+COUNTIFS(#REF!,"North Team 2",#REF!,4)</f>
        <v>#REF!</v>
      </c>
      <c r="Q95" s="10"/>
      <c r="R95" s="16">
        <f t="shared" si="38"/>
        <v>0</v>
      </c>
      <c r="S95" s="10"/>
      <c r="T95" s="40">
        <f t="shared" si="39"/>
        <v>0.9</v>
      </c>
      <c r="U95" s="8"/>
    </row>
    <row r="96" spans="1:21" ht="15.75" customHeight="1" x14ac:dyDescent="0.25">
      <c r="A96" s="515"/>
      <c r="B96" s="504" t="s">
        <v>12</v>
      </c>
      <c r="C96" s="504"/>
      <c r="D96" s="504"/>
      <c r="E96" s="504"/>
      <c r="F96" s="504"/>
      <c r="H96" s="46" t="e">
        <f>(COUNTIFS(#REF!,"North Team 2",#REF!,"&lt;&gt;NV"))</f>
        <v>#REF!</v>
      </c>
      <c r="J96" s="46" t="e" cm="1">
        <f t="array" ref="J96">SUM(COUNTIFS(#REF!,"North Team 2",#REF!,{"1","2","3","4"}))</f>
        <v>#REF!</v>
      </c>
      <c r="K96" s="10"/>
      <c r="L96" s="16" t="e">
        <f>J96/H96</f>
        <v>#REF!</v>
      </c>
      <c r="M96" s="10"/>
      <c r="N96" s="16">
        <f>$F$1</f>
        <v>0.5</v>
      </c>
      <c r="O96" s="8"/>
      <c r="P96" s="46" t="e">
        <f>COUNTIFS(#REF!,"North Team 2",#REF!,3)+COUNTIFS(#REF!,"North Team 2",#REF!,4)</f>
        <v>#REF!</v>
      </c>
      <c r="Q96" s="10"/>
      <c r="R96" s="16">
        <f t="shared" si="38"/>
        <v>0</v>
      </c>
      <c r="S96" s="10"/>
      <c r="T96" s="40">
        <f t="shared" si="39"/>
        <v>0.9</v>
      </c>
      <c r="U96" s="8"/>
    </row>
    <row r="97" spans="1:21" ht="15.75" customHeight="1" x14ac:dyDescent="0.25">
      <c r="A97" s="516"/>
      <c r="B97" s="504" t="s">
        <v>13</v>
      </c>
      <c r="C97" s="504"/>
      <c r="D97" s="504"/>
      <c r="E97" s="504"/>
      <c r="F97" s="504"/>
      <c r="H97" s="144" t="e">
        <f>SUM(H94:H96)</f>
        <v>#REF!</v>
      </c>
      <c r="J97" s="46" t="e">
        <f>J94+J95+J96</f>
        <v>#REF!</v>
      </c>
      <c r="K97" s="10"/>
      <c r="L97" s="16" t="e">
        <f>J97/H97</f>
        <v>#REF!</v>
      </c>
      <c r="M97" s="10"/>
      <c r="N97" s="16">
        <f>$F$1</f>
        <v>0.5</v>
      </c>
      <c r="O97" s="8"/>
      <c r="P97" s="46" t="e">
        <f>SUM(P94:P96)</f>
        <v>#REF!</v>
      </c>
      <c r="Q97" s="10"/>
      <c r="R97" s="16">
        <f t="shared" si="38"/>
        <v>0</v>
      </c>
      <c r="S97" s="10"/>
      <c r="T97" s="40">
        <f t="shared" si="39"/>
        <v>0.9</v>
      </c>
      <c r="U97" s="8"/>
    </row>
    <row r="98" spans="1:21" ht="15.75" customHeight="1" x14ac:dyDescent="0.25">
      <c r="H98"/>
      <c r="J98"/>
      <c r="P98"/>
    </row>
    <row r="99" spans="1:21" ht="15.75" customHeight="1" x14ac:dyDescent="0.25">
      <c r="A99" s="514" t="s">
        <v>32</v>
      </c>
      <c r="B99" s="504" t="s">
        <v>10</v>
      </c>
      <c r="C99" s="504"/>
      <c r="D99" s="504"/>
      <c r="E99" s="504"/>
      <c r="F99" s="504"/>
      <c r="H99" s="46" t="e">
        <f>COUNTIFS(#REF!,"North Team 3",#REF!,"&lt;&gt;NV")</f>
        <v>#REF!</v>
      </c>
      <c r="J99" s="46" t="e" cm="1">
        <f t="array" ref="J99">SUM(COUNTIFS(#REF!,"North Team 3",#REF!,{"1","2","3","4"}))</f>
        <v>#REF!</v>
      </c>
      <c r="K99" s="10"/>
      <c r="L99" s="16" t="e">
        <f>J99/H99</f>
        <v>#REF!</v>
      </c>
      <c r="M99" s="10"/>
      <c r="N99" s="16">
        <f>$F$1</f>
        <v>0.5</v>
      </c>
      <c r="O99" s="8"/>
      <c r="P99" s="46" t="e">
        <f>COUNTIFS(#REF!,"North Team 3",#REF!,3)+COUNTIFS(#REF!,"North Team 3",#REF!,4)</f>
        <v>#REF!</v>
      </c>
      <c r="Q99" s="10"/>
      <c r="R99" s="16">
        <f t="shared" ref="R99:R102" si="40">IFERROR(P99/J99,0)</f>
        <v>0</v>
      </c>
      <c r="S99" s="10"/>
      <c r="T99" s="40">
        <f t="shared" ref="T99:T102" si="41">$Q$1</f>
        <v>0.9</v>
      </c>
      <c r="U99" s="8"/>
    </row>
    <row r="100" spans="1:21" ht="15.75" customHeight="1" x14ac:dyDescent="0.25">
      <c r="A100" s="515"/>
      <c r="B100" s="504" t="s">
        <v>11</v>
      </c>
      <c r="C100" s="504"/>
      <c r="D100" s="504"/>
      <c r="E100" s="504"/>
      <c r="F100" s="504"/>
      <c r="H100" s="46" t="e">
        <f>COUNTIFS(#REF!,"North Team 3",#REF!,"&lt;&gt;NV")</f>
        <v>#REF!</v>
      </c>
      <c r="J100" s="46" t="e" cm="1">
        <f t="array" ref="J100">SUM(COUNTIFS(#REF!,"North Team 3",#REF!,{"1","2","3","4"}))</f>
        <v>#REF!</v>
      </c>
      <c r="K100" s="10"/>
      <c r="L100" s="16" t="e">
        <f>J100/H100</f>
        <v>#REF!</v>
      </c>
      <c r="M100" s="10"/>
      <c r="N100" s="16">
        <f>$F$1</f>
        <v>0.5</v>
      </c>
      <c r="O100" s="8"/>
      <c r="P100" s="46" t="e">
        <f>COUNTIFS(#REF!,"North Team 3",#REF!,3)+COUNTIFS(#REF!,"North Team 3",#REF!,4)</f>
        <v>#REF!</v>
      </c>
      <c r="Q100" s="10"/>
      <c r="R100" s="16">
        <f t="shared" si="40"/>
        <v>0</v>
      </c>
      <c r="S100" s="10"/>
      <c r="T100" s="40">
        <f t="shared" si="41"/>
        <v>0.9</v>
      </c>
      <c r="U100" s="8"/>
    </row>
    <row r="101" spans="1:21" ht="15.75" customHeight="1" x14ac:dyDescent="0.25">
      <c r="A101" s="515"/>
      <c r="B101" s="504" t="s">
        <v>12</v>
      </c>
      <c r="C101" s="504"/>
      <c r="D101" s="504"/>
      <c r="E101" s="504"/>
      <c r="F101" s="504"/>
      <c r="H101" s="46" t="e">
        <f>(COUNTIFS(#REF!,"North Team 3",#REF!,"&lt;&gt;NV"))</f>
        <v>#REF!</v>
      </c>
      <c r="J101" s="46" t="e" cm="1">
        <f t="array" ref="J101">SUM(COUNTIFS(#REF!,"North Team 3",#REF!,{"1","2","3","4"}))</f>
        <v>#REF!</v>
      </c>
      <c r="K101" s="10"/>
      <c r="L101" s="16" t="e">
        <f>J101/H101</f>
        <v>#REF!</v>
      </c>
      <c r="M101" s="10"/>
      <c r="N101" s="16">
        <f>$F$1</f>
        <v>0.5</v>
      </c>
      <c r="O101" s="8"/>
      <c r="P101" s="46" t="e">
        <f>COUNTIFS(#REF!,"North Team 3",#REF!,3)+COUNTIFS(#REF!,"North Team 3",#REF!,4)</f>
        <v>#REF!</v>
      </c>
      <c r="Q101" s="10"/>
      <c r="R101" s="16">
        <f t="shared" si="40"/>
        <v>0</v>
      </c>
      <c r="S101" s="10"/>
      <c r="T101" s="40">
        <f t="shared" si="41"/>
        <v>0.9</v>
      </c>
      <c r="U101" s="8"/>
    </row>
    <row r="102" spans="1:21" ht="15.75" customHeight="1" x14ac:dyDescent="0.25">
      <c r="A102" s="516"/>
      <c r="B102" s="504" t="s">
        <v>13</v>
      </c>
      <c r="C102" s="504"/>
      <c r="D102" s="504"/>
      <c r="E102" s="504"/>
      <c r="F102" s="504"/>
      <c r="H102" s="144" t="e">
        <f>SUM(H99:H101)</f>
        <v>#REF!</v>
      </c>
      <c r="J102" s="46" t="e">
        <f>J99+J100+J101</f>
        <v>#REF!</v>
      </c>
      <c r="K102" s="10"/>
      <c r="L102" s="16" t="e">
        <f>J102/H102</f>
        <v>#REF!</v>
      </c>
      <c r="M102" s="10"/>
      <c r="N102" s="16">
        <f>$F$1</f>
        <v>0.5</v>
      </c>
      <c r="O102" s="8"/>
      <c r="P102" s="46" t="e">
        <f>SUM(P99:P101)</f>
        <v>#REF!</v>
      </c>
      <c r="Q102" s="10"/>
      <c r="R102" s="16">
        <f t="shared" si="40"/>
        <v>0</v>
      </c>
      <c r="S102" s="10"/>
      <c r="T102" s="40">
        <f t="shared" si="41"/>
        <v>0.9</v>
      </c>
      <c r="U102" s="8"/>
    </row>
    <row r="103" spans="1:21" ht="15.75" customHeight="1" x14ac:dyDescent="0.25">
      <c r="H103"/>
      <c r="J103"/>
      <c r="P103"/>
    </row>
    <row r="104" spans="1:21" ht="15.75" customHeight="1" x14ac:dyDescent="0.25">
      <c r="A104" s="514" t="s">
        <v>33</v>
      </c>
      <c r="B104" s="504" t="s">
        <v>10</v>
      </c>
      <c r="C104" s="504"/>
      <c r="D104" s="504"/>
      <c r="E104" s="504"/>
      <c r="F104" s="504"/>
      <c r="H104" s="46" t="e">
        <f>COUNTIFS(#REF!,"North Team 4",#REF!,"&lt;&gt;NV")</f>
        <v>#REF!</v>
      </c>
      <c r="J104" s="46" t="e" cm="1">
        <f t="array" ref="J104">SUM(COUNTIFS(#REF!,"North Team 4",#REF!,{"1","2","3","4"}))</f>
        <v>#REF!</v>
      </c>
      <c r="K104" s="10"/>
      <c r="L104" s="16" t="e">
        <f>J104/H104</f>
        <v>#REF!</v>
      </c>
      <c r="M104" s="10"/>
      <c r="N104" s="16">
        <f>$F$1</f>
        <v>0.5</v>
      </c>
      <c r="O104" s="8"/>
      <c r="P104" s="46" t="e">
        <f>COUNTIFS(#REF!,"North Team 4",#REF!,3)+COUNTIFS(#REF!,"North Team 4",#REF!,4)</f>
        <v>#REF!</v>
      </c>
      <c r="Q104" s="10"/>
      <c r="R104" s="16">
        <f t="shared" ref="R104:R107" si="42">IFERROR(P104/J104,0)</f>
        <v>0</v>
      </c>
      <c r="S104" s="10"/>
      <c r="T104" s="40">
        <f t="shared" ref="T104:T107" si="43">$Q$1</f>
        <v>0.9</v>
      </c>
      <c r="U104" s="8"/>
    </row>
    <row r="105" spans="1:21" ht="15.75" customHeight="1" x14ac:dyDescent="0.25">
      <c r="A105" s="515"/>
      <c r="B105" s="504" t="s">
        <v>11</v>
      </c>
      <c r="C105" s="504"/>
      <c r="D105" s="504"/>
      <c r="E105" s="504"/>
      <c r="F105" s="504"/>
      <c r="H105" s="46" t="e">
        <f>COUNTIFS(#REF!,"North Team 4",#REF!,"&lt;&gt;NV")</f>
        <v>#REF!</v>
      </c>
      <c r="J105" s="46" t="e" cm="1">
        <f t="array" ref="J105">SUM(COUNTIFS(#REF!,"North Team 4",#REF!,{"1","2","3","4"}))</f>
        <v>#REF!</v>
      </c>
      <c r="K105" s="10"/>
      <c r="L105" s="16" t="e">
        <f>J105/H105</f>
        <v>#REF!</v>
      </c>
      <c r="M105" s="10"/>
      <c r="N105" s="16">
        <f>$F$1</f>
        <v>0.5</v>
      </c>
      <c r="O105" s="8"/>
      <c r="P105" s="46" t="e">
        <f>COUNTIFS(#REF!,"North Team 4",#REF!,3)+COUNTIFS(#REF!,"North Team 4",#REF!,4)</f>
        <v>#REF!</v>
      </c>
      <c r="Q105" s="10"/>
      <c r="R105" s="16">
        <f t="shared" si="42"/>
        <v>0</v>
      </c>
      <c r="S105" s="10"/>
      <c r="T105" s="40">
        <f t="shared" si="43"/>
        <v>0.9</v>
      </c>
      <c r="U105" s="8"/>
    </row>
    <row r="106" spans="1:21" ht="15.75" customHeight="1" x14ac:dyDescent="0.25">
      <c r="A106" s="515"/>
      <c r="B106" s="504" t="s">
        <v>12</v>
      </c>
      <c r="C106" s="504"/>
      <c r="D106" s="504"/>
      <c r="E106" s="504"/>
      <c r="F106" s="504"/>
      <c r="H106" s="46" t="e">
        <f>(COUNTIFS(#REF!,"North Team 4",#REF!,"&lt;&gt;NV"))</f>
        <v>#REF!</v>
      </c>
      <c r="J106" s="46" t="e" cm="1">
        <f t="array" ref="J106">SUM(COUNTIFS(#REF!,"North Team 4",#REF!,{"1","2","3","4"}))</f>
        <v>#REF!</v>
      </c>
      <c r="K106" s="10"/>
      <c r="L106" s="16" t="e">
        <f>J106/H106</f>
        <v>#REF!</v>
      </c>
      <c r="M106" s="10"/>
      <c r="N106" s="16">
        <f>$F$1</f>
        <v>0.5</v>
      </c>
      <c r="O106" s="8"/>
      <c r="P106" s="46" t="e">
        <f>COUNTIFS(#REF!,"North Team 4",#REF!,3)+COUNTIFS(#REF!,"North Team 4",#REF!,4)</f>
        <v>#REF!</v>
      </c>
      <c r="Q106" s="10"/>
      <c r="R106" s="16">
        <f t="shared" si="42"/>
        <v>0</v>
      </c>
      <c r="S106" s="10"/>
      <c r="T106" s="40">
        <f t="shared" si="43"/>
        <v>0.9</v>
      </c>
      <c r="U106" s="8"/>
    </row>
    <row r="107" spans="1:21" ht="15.75" customHeight="1" x14ac:dyDescent="0.25">
      <c r="A107" s="516"/>
      <c r="B107" s="504" t="s">
        <v>13</v>
      </c>
      <c r="C107" s="504"/>
      <c r="D107" s="504"/>
      <c r="E107" s="504"/>
      <c r="F107" s="504"/>
      <c r="H107" s="144" t="e">
        <f>SUM(H104:H106)</f>
        <v>#REF!</v>
      </c>
      <c r="J107" s="46" t="e">
        <f>J104+J105+J106</f>
        <v>#REF!</v>
      </c>
      <c r="K107" s="10"/>
      <c r="L107" s="16" t="e">
        <f>J107/H107</f>
        <v>#REF!</v>
      </c>
      <c r="M107" s="10"/>
      <c r="N107" s="16">
        <f>$F$1</f>
        <v>0.5</v>
      </c>
      <c r="O107" s="8"/>
      <c r="P107" s="46" t="e">
        <f>SUM(P104:P106)</f>
        <v>#REF!</v>
      </c>
      <c r="Q107" s="10"/>
      <c r="R107" s="16">
        <f t="shared" si="42"/>
        <v>0</v>
      </c>
      <c r="S107" s="10"/>
      <c r="T107" s="40">
        <f t="shared" si="43"/>
        <v>0.9</v>
      </c>
      <c r="U107" s="8"/>
    </row>
    <row r="108" spans="1:21" ht="15.75" customHeight="1" x14ac:dyDescent="0.25">
      <c r="H108"/>
      <c r="J108"/>
      <c r="P108"/>
    </row>
    <row r="109" spans="1:21" ht="15.75" customHeight="1" x14ac:dyDescent="0.25">
      <c r="A109" s="514" t="s">
        <v>34</v>
      </c>
      <c r="B109" s="504" t="s">
        <v>10</v>
      </c>
      <c r="C109" s="504"/>
      <c r="D109" s="504"/>
      <c r="E109" s="504"/>
      <c r="F109" s="504"/>
      <c r="H109" s="46" t="e">
        <f>COUNTIFS(#REF!,"North Team 5",#REF!,"&lt;&gt;NV")</f>
        <v>#REF!</v>
      </c>
      <c r="J109" s="46" t="e" cm="1">
        <f t="array" ref="J109">SUM(COUNTIFS(#REF!,"North Team 5",#REF!,{"1","2","3","4"}))</f>
        <v>#REF!</v>
      </c>
      <c r="K109" s="10"/>
      <c r="L109" s="16" t="e">
        <f>J109/H109</f>
        <v>#REF!</v>
      </c>
      <c r="M109" s="10"/>
      <c r="N109" s="16">
        <f>$F$1</f>
        <v>0.5</v>
      </c>
      <c r="O109" s="8"/>
      <c r="P109" s="46" t="e">
        <f>COUNTIFS(#REF!,"North Team 5",#REF!,3)+COUNTIFS(#REF!,"North Team 5",#REF!,4)</f>
        <v>#REF!</v>
      </c>
      <c r="Q109" s="10"/>
      <c r="R109" s="16">
        <f t="shared" ref="R109:R112" si="44">IFERROR(P109/J109,0)</f>
        <v>0</v>
      </c>
      <c r="S109" s="10"/>
      <c r="T109" s="40">
        <f t="shared" ref="T109:T112" si="45">$Q$1</f>
        <v>0.9</v>
      </c>
      <c r="U109" s="8"/>
    </row>
    <row r="110" spans="1:21" ht="15.75" customHeight="1" x14ac:dyDescent="0.25">
      <c r="A110" s="515"/>
      <c r="B110" s="504" t="s">
        <v>11</v>
      </c>
      <c r="C110" s="504"/>
      <c r="D110" s="504"/>
      <c r="E110" s="504"/>
      <c r="F110" s="504"/>
      <c r="H110" s="46" t="e">
        <f>COUNTIFS(#REF!,"North Team 5",#REF!,"&lt;&gt;NV")</f>
        <v>#REF!</v>
      </c>
      <c r="J110" s="46" t="e" cm="1">
        <f t="array" ref="J110">SUM(COUNTIFS(#REF!,"North Team 5",#REF!,{"1","2","3","4"}))</f>
        <v>#REF!</v>
      </c>
      <c r="K110" s="10"/>
      <c r="L110" s="16" t="e">
        <f>J110/H110</f>
        <v>#REF!</v>
      </c>
      <c r="M110" s="10"/>
      <c r="N110" s="16">
        <f>$F$1</f>
        <v>0.5</v>
      </c>
      <c r="O110" s="8"/>
      <c r="P110" s="46" t="e">
        <f>COUNTIFS(#REF!,"North Team 5",#REF!,3)+COUNTIFS(#REF!,"North Team 5",#REF!,4)</f>
        <v>#REF!</v>
      </c>
      <c r="Q110" s="10"/>
      <c r="R110" s="16">
        <f t="shared" si="44"/>
        <v>0</v>
      </c>
      <c r="S110" s="10"/>
      <c r="T110" s="40">
        <f t="shared" si="45"/>
        <v>0.9</v>
      </c>
      <c r="U110" s="8"/>
    </row>
    <row r="111" spans="1:21" ht="15.75" customHeight="1" x14ac:dyDescent="0.25">
      <c r="A111" s="515"/>
      <c r="B111" s="504" t="s">
        <v>12</v>
      </c>
      <c r="C111" s="504"/>
      <c r="D111" s="504"/>
      <c r="E111" s="504"/>
      <c r="F111" s="504"/>
      <c r="H111" s="46" t="e">
        <f>(COUNTIFS(#REF!,"North Team 5",#REF!,"&lt;&gt;NV"))</f>
        <v>#REF!</v>
      </c>
      <c r="J111" s="46" t="e" cm="1">
        <f t="array" ref="J111">SUM(COUNTIFS(#REF!,"North Team 5",#REF!,{"1","2","3","4"}))</f>
        <v>#REF!</v>
      </c>
      <c r="K111" s="10"/>
      <c r="L111" s="16" t="e">
        <f>J111/H111</f>
        <v>#REF!</v>
      </c>
      <c r="M111" s="10"/>
      <c r="N111" s="16">
        <f>$F$1</f>
        <v>0.5</v>
      </c>
      <c r="O111" s="8"/>
      <c r="P111" s="46" t="e">
        <f>COUNTIFS(#REF!,"North Team 5",#REF!,3)+COUNTIFS(#REF!,"North Team 5",#REF!,4)</f>
        <v>#REF!</v>
      </c>
      <c r="Q111" s="10"/>
      <c r="R111" s="16">
        <f t="shared" si="44"/>
        <v>0</v>
      </c>
      <c r="S111" s="10"/>
      <c r="T111" s="40">
        <f t="shared" si="45"/>
        <v>0.9</v>
      </c>
      <c r="U111" s="8"/>
    </row>
    <row r="112" spans="1:21" ht="15.75" customHeight="1" x14ac:dyDescent="0.25">
      <c r="A112" s="516"/>
      <c r="B112" s="504" t="s">
        <v>13</v>
      </c>
      <c r="C112" s="504"/>
      <c r="D112" s="504"/>
      <c r="E112" s="504"/>
      <c r="F112" s="504"/>
      <c r="H112" s="144" t="e">
        <f>SUM(H109:H111)</f>
        <v>#REF!</v>
      </c>
      <c r="J112" s="46" t="e">
        <f>J109+J110+J111</f>
        <v>#REF!</v>
      </c>
      <c r="K112" s="10"/>
      <c r="L112" s="16" t="e">
        <f>J112/H112</f>
        <v>#REF!</v>
      </c>
      <c r="M112" s="10"/>
      <c r="N112" s="16">
        <f>$F$1</f>
        <v>0.5</v>
      </c>
      <c r="O112" s="8"/>
      <c r="P112" s="46" t="e">
        <f>SUM(P109:P111)</f>
        <v>#REF!</v>
      </c>
      <c r="Q112" s="10"/>
      <c r="R112" s="16">
        <f t="shared" si="44"/>
        <v>0</v>
      </c>
      <c r="S112" s="10"/>
      <c r="T112" s="40">
        <f t="shared" si="45"/>
        <v>0.9</v>
      </c>
      <c r="U112" s="8"/>
    </row>
    <row r="113" spans="1:21" ht="15.75" customHeight="1" x14ac:dyDescent="0.25">
      <c r="H113"/>
      <c r="J113"/>
      <c r="P113"/>
    </row>
    <row r="114" spans="1:21" ht="15.75" customHeight="1" x14ac:dyDescent="0.25">
      <c r="A114" s="514" t="s">
        <v>35</v>
      </c>
      <c r="B114" s="504" t="s">
        <v>10</v>
      </c>
      <c r="C114" s="504"/>
      <c r="D114" s="504"/>
      <c r="E114" s="504"/>
      <c r="F114" s="504"/>
      <c r="G114" t="s">
        <v>3</v>
      </c>
      <c r="H114" s="46" t="e">
        <f>COUNTIFS(#REF!,"North Team 6",#REF!,"&lt;&gt;NV")</f>
        <v>#REF!</v>
      </c>
      <c r="J114" s="46" t="e" cm="1">
        <f t="array" ref="J114">SUM(COUNTIFS(#REF!,"North Team 6",#REF!,{"1","2","3","4"}))</f>
        <v>#REF!</v>
      </c>
      <c r="K114" s="10"/>
      <c r="L114" s="16" t="e">
        <f>J114/H114</f>
        <v>#REF!</v>
      </c>
      <c r="M114" s="10"/>
      <c r="N114" s="16">
        <f>$F$1</f>
        <v>0.5</v>
      </c>
      <c r="O114" s="8"/>
      <c r="P114" s="46" t="e">
        <f>COUNTIFS(#REF!,"North Team 6",#REF!,3)+COUNTIFS(#REF!,"North Team 6",#REF!,4)</f>
        <v>#REF!</v>
      </c>
      <c r="Q114" s="10"/>
      <c r="R114" s="16">
        <f t="shared" ref="R114:R117" si="46">IFERROR(P114/J114,0)</f>
        <v>0</v>
      </c>
      <c r="S114" s="10"/>
      <c r="T114" s="40">
        <f t="shared" ref="T114:T117" si="47">$Q$1</f>
        <v>0.9</v>
      </c>
      <c r="U114" s="8"/>
    </row>
    <row r="115" spans="1:21" ht="15.75" customHeight="1" x14ac:dyDescent="0.25">
      <c r="A115" s="515"/>
      <c r="B115" s="504" t="s">
        <v>11</v>
      </c>
      <c r="C115" s="504"/>
      <c r="D115" s="504"/>
      <c r="E115" s="504"/>
      <c r="F115" s="504"/>
      <c r="H115" s="46" t="e">
        <f>COUNTIFS(#REF!,"North Team 6",#REF!,"&lt;&gt;NV")</f>
        <v>#REF!</v>
      </c>
      <c r="J115" s="46" t="e" cm="1">
        <f t="array" ref="J115">SUM(COUNTIFS(#REF!,"North Team 6",#REF!,{"1","2","3","4"}))</f>
        <v>#REF!</v>
      </c>
      <c r="K115" s="10"/>
      <c r="L115" s="16" t="e">
        <f>J115/H115</f>
        <v>#REF!</v>
      </c>
      <c r="M115" s="10"/>
      <c r="N115" s="16">
        <f>$F$1</f>
        <v>0.5</v>
      </c>
      <c r="O115" s="8"/>
      <c r="P115" s="46" t="e">
        <f>COUNTIFS(#REF!,"North Team 6",#REF!,3)+COUNTIFS(#REF!,"North Team 6",#REF!,4)</f>
        <v>#REF!</v>
      </c>
      <c r="Q115" s="10"/>
      <c r="R115" s="16">
        <f t="shared" si="46"/>
        <v>0</v>
      </c>
      <c r="S115" s="10"/>
      <c r="T115" s="40">
        <f t="shared" si="47"/>
        <v>0.9</v>
      </c>
      <c r="U115" s="8"/>
    </row>
    <row r="116" spans="1:21" ht="15.75" customHeight="1" x14ac:dyDescent="0.25">
      <c r="A116" s="515"/>
      <c r="B116" s="504" t="s">
        <v>12</v>
      </c>
      <c r="C116" s="504"/>
      <c r="D116" s="504"/>
      <c r="E116" s="504"/>
      <c r="F116" s="504"/>
      <c r="H116" s="46" t="e">
        <f>(COUNTIFS(#REF!,"North Team 6",#REF!,"&lt;&gt;NV"))</f>
        <v>#REF!</v>
      </c>
      <c r="J116" s="46" t="e" cm="1">
        <f t="array" ref="J116">SUM(COUNTIFS(#REF!,"North Team 6",#REF!,{"1","2","3","4"}))</f>
        <v>#REF!</v>
      </c>
      <c r="K116" s="10"/>
      <c r="L116" s="16" t="e">
        <f>J116/H116</f>
        <v>#REF!</v>
      </c>
      <c r="M116" s="10"/>
      <c r="N116" s="16">
        <f>$F$1</f>
        <v>0.5</v>
      </c>
      <c r="O116" s="8"/>
      <c r="P116" s="46" t="e">
        <f>COUNTIFS(#REF!,"North Team 6",#REF!,3)+COUNTIFS(#REF!,"North Team 6",#REF!,4)</f>
        <v>#REF!</v>
      </c>
      <c r="Q116" s="10"/>
      <c r="R116" s="16">
        <f t="shared" si="46"/>
        <v>0</v>
      </c>
      <c r="S116" s="10"/>
      <c r="T116" s="40">
        <f t="shared" si="47"/>
        <v>0.9</v>
      </c>
      <c r="U116" s="8"/>
    </row>
    <row r="117" spans="1:21" ht="15.75" customHeight="1" x14ac:dyDescent="0.25">
      <c r="A117" s="516"/>
      <c r="B117" s="504" t="s">
        <v>13</v>
      </c>
      <c r="C117" s="504"/>
      <c r="D117" s="504"/>
      <c r="E117" s="504"/>
      <c r="F117" s="504"/>
      <c r="H117" s="144" t="e">
        <f>SUM(H114:H116)</f>
        <v>#REF!</v>
      </c>
      <c r="J117" s="46" t="e">
        <f>J114+J115+J116</f>
        <v>#REF!</v>
      </c>
      <c r="K117" s="10"/>
      <c r="L117" s="16" t="e">
        <f>J117/H117</f>
        <v>#REF!</v>
      </c>
      <c r="M117" s="10"/>
      <c r="N117" s="16">
        <f>$F$1</f>
        <v>0.5</v>
      </c>
      <c r="O117" s="8"/>
      <c r="P117" s="46" t="e">
        <f>SUM(P114:P116)</f>
        <v>#REF!</v>
      </c>
      <c r="Q117" s="10"/>
      <c r="R117" s="16">
        <f t="shared" si="46"/>
        <v>0</v>
      </c>
      <c r="S117" s="10"/>
      <c r="T117" s="40">
        <f t="shared" si="47"/>
        <v>0.9</v>
      </c>
      <c r="U117" s="8"/>
    </row>
    <row r="118" spans="1:21" ht="15.75" customHeight="1" x14ac:dyDescent="0.25">
      <c r="H118"/>
      <c r="J118"/>
      <c r="P118"/>
    </row>
    <row r="119" spans="1:21" ht="15.75" customHeight="1" x14ac:dyDescent="0.25">
      <c r="A119" s="514" t="s">
        <v>36</v>
      </c>
      <c r="B119" s="504" t="s">
        <v>10</v>
      </c>
      <c r="C119" s="504"/>
      <c r="D119" s="504"/>
      <c r="E119" s="504"/>
      <c r="F119" s="504"/>
      <c r="H119" s="46" t="e">
        <f>COUNTIFS(#REF!,"North Team 7",#REF!,"&lt;&gt;NV")</f>
        <v>#REF!</v>
      </c>
      <c r="J119" s="46" t="e" cm="1">
        <f t="array" ref="J119">SUM(COUNTIFS(#REF!,"North Team 7",#REF!,{"1","2","3","4"}))</f>
        <v>#REF!</v>
      </c>
      <c r="K119" s="10"/>
      <c r="L119" s="16" t="e">
        <f>J119/H119</f>
        <v>#REF!</v>
      </c>
      <c r="M119" s="10"/>
      <c r="N119" s="16">
        <f>$F$1</f>
        <v>0.5</v>
      </c>
      <c r="O119" s="8"/>
      <c r="P119" s="46" t="e">
        <f>COUNTIFS(#REF!,"North Team 7",#REF!,3)+COUNTIFS(#REF!,"North Team 7",#REF!,4)</f>
        <v>#REF!</v>
      </c>
      <c r="Q119" s="10"/>
      <c r="R119" s="16">
        <f t="shared" ref="R119:R122" si="48">IFERROR(P119/J119,0)</f>
        <v>0</v>
      </c>
      <c r="S119" s="10"/>
      <c r="T119" s="40">
        <f t="shared" ref="T119:T122" si="49">$Q$1</f>
        <v>0.9</v>
      </c>
      <c r="U119" s="8"/>
    </row>
    <row r="120" spans="1:21" ht="15.75" customHeight="1" x14ac:dyDescent="0.25">
      <c r="A120" s="515"/>
      <c r="B120" s="504" t="s">
        <v>11</v>
      </c>
      <c r="C120" s="504"/>
      <c r="D120" s="504"/>
      <c r="E120" s="504"/>
      <c r="F120" s="504"/>
      <c r="H120" s="46" t="e">
        <f>COUNTIFS(#REF!,"North Team 7",#REF!,"&lt;&gt;NV")</f>
        <v>#REF!</v>
      </c>
      <c r="J120" s="46" t="e" cm="1">
        <f t="array" ref="J120">SUM(COUNTIFS(#REF!,"North Team 7",#REF!,{"1","2","3","4"}))</f>
        <v>#REF!</v>
      </c>
      <c r="K120" s="10"/>
      <c r="L120" s="16" t="e">
        <f>J120/H120</f>
        <v>#REF!</v>
      </c>
      <c r="M120" s="10"/>
      <c r="N120" s="16">
        <f>$F$1</f>
        <v>0.5</v>
      </c>
      <c r="O120" s="8"/>
      <c r="P120" s="46" t="e">
        <f>COUNTIFS(#REF!,"North Team 7",#REF!,3)+COUNTIFS(#REF!,"North Team 7",#REF!,4)</f>
        <v>#REF!</v>
      </c>
      <c r="Q120" s="10"/>
      <c r="R120" s="16">
        <f t="shared" si="48"/>
        <v>0</v>
      </c>
      <c r="S120" s="10"/>
      <c r="T120" s="40">
        <f t="shared" si="49"/>
        <v>0.9</v>
      </c>
      <c r="U120" s="8"/>
    </row>
    <row r="121" spans="1:21" ht="15.75" customHeight="1" x14ac:dyDescent="0.25">
      <c r="A121" s="515"/>
      <c r="B121" s="504" t="s">
        <v>12</v>
      </c>
      <c r="C121" s="504"/>
      <c r="D121" s="504"/>
      <c r="E121" s="504"/>
      <c r="F121" s="504"/>
      <c r="H121" s="46" t="e">
        <f>(COUNTIFS(#REF!,"North Team 7",#REF!,"&lt;&gt;NV"))</f>
        <v>#REF!</v>
      </c>
      <c r="J121" s="46" t="e" cm="1">
        <f t="array" ref="J121">SUM(COUNTIFS(#REF!,"North Team 7",#REF!,{"1","2","3","4"}))</f>
        <v>#REF!</v>
      </c>
      <c r="K121" s="10"/>
      <c r="L121" s="16" t="e">
        <f>J121/H121</f>
        <v>#REF!</v>
      </c>
      <c r="M121" s="10"/>
      <c r="N121" s="16">
        <f>$F$1</f>
        <v>0.5</v>
      </c>
      <c r="O121" s="8"/>
      <c r="P121" s="46" t="e">
        <f>COUNTIFS(#REF!,"North Team 7",#REF!,3)+COUNTIFS(#REF!,"North Team 7",#REF!,4)</f>
        <v>#REF!</v>
      </c>
      <c r="Q121" s="10"/>
      <c r="R121" s="16">
        <f t="shared" si="48"/>
        <v>0</v>
      </c>
      <c r="S121" s="10"/>
      <c r="T121" s="40">
        <f t="shared" si="49"/>
        <v>0.9</v>
      </c>
      <c r="U121" s="8"/>
    </row>
    <row r="122" spans="1:21" ht="15.75" customHeight="1" x14ac:dyDescent="0.25">
      <c r="A122" s="516"/>
      <c r="B122" s="504" t="s">
        <v>13</v>
      </c>
      <c r="C122" s="504"/>
      <c r="D122" s="504"/>
      <c r="E122" s="504"/>
      <c r="F122" s="504"/>
      <c r="H122" s="144" t="e">
        <f>SUM(H119:H121)</f>
        <v>#REF!</v>
      </c>
      <c r="J122" s="46" t="e">
        <f>J119+J120+J121</f>
        <v>#REF!</v>
      </c>
      <c r="K122" s="10"/>
      <c r="L122" s="16" t="e">
        <f>J122/H122</f>
        <v>#REF!</v>
      </c>
      <c r="M122" s="10"/>
      <c r="N122" s="16">
        <f>$F$1</f>
        <v>0.5</v>
      </c>
      <c r="O122" s="8"/>
      <c r="P122" s="46" t="e">
        <f>SUM(P119:P121)</f>
        <v>#REF!</v>
      </c>
      <c r="Q122" s="10"/>
      <c r="R122" s="16">
        <f t="shared" si="48"/>
        <v>0</v>
      </c>
      <c r="S122" s="10"/>
      <c r="T122" s="40">
        <f t="shared" si="49"/>
        <v>0.9</v>
      </c>
      <c r="U122" s="8"/>
    </row>
    <row r="123" spans="1:21" ht="15.75" customHeight="1" x14ac:dyDescent="0.25">
      <c r="H123"/>
      <c r="J123"/>
      <c r="P123"/>
    </row>
    <row r="124" spans="1:21" ht="15.75" customHeight="1" x14ac:dyDescent="0.25">
      <c r="A124" s="505" t="s">
        <v>37</v>
      </c>
      <c r="B124" s="504" t="s">
        <v>10</v>
      </c>
      <c r="C124" s="504"/>
      <c r="D124" s="504"/>
      <c r="E124" s="504"/>
      <c r="F124" s="504"/>
      <c r="G124" t="s">
        <v>3</v>
      </c>
      <c r="H124" s="46" t="e">
        <f>COUNTIFS(#REF!,"South Team 1",#REF!,"&lt;&gt;NV")</f>
        <v>#REF!</v>
      </c>
      <c r="J124" s="46" t="e" cm="1">
        <f t="array" ref="J124">SUM(COUNTIFS(#REF!,"South Team 1",#REF!,{"1","2","3","4"}))</f>
        <v>#REF!</v>
      </c>
      <c r="K124" s="10"/>
      <c r="L124" s="16" t="e">
        <f>J124/H124</f>
        <v>#REF!</v>
      </c>
      <c r="M124" s="10"/>
      <c r="N124" s="16">
        <f>$F$1</f>
        <v>0.5</v>
      </c>
      <c r="O124" s="8"/>
      <c r="P124" s="46" t="e">
        <f>COUNTIFS(#REF!,"South Team 1",#REF!,3)+COUNTIFS(#REF!,"South Team 1",#REF!,4)</f>
        <v>#REF!</v>
      </c>
      <c r="Q124" s="10"/>
      <c r="R124" s="16">
        <f t="shared" ref="R124:R127" si="50">IFERROR(P124/J124,0)</f>
        <v>0</v>
      </c>
      <c r="S124" s="10"/>
      <c r="T124" s="40">
        <f t="shared" ref="T124:T127" si="51">$Q$1</f>
        <v>0.9</v>
      </c>
      <c r="U124" s="8"/>
    </row>
    <row r="125" spans="1:21" ht="15.75" customHeight="1" x14ac:dyDescent="0.25">
      <c r="A125" s="529"/>
      <c r="B125" s="504" t="s">
        <v>11</v>
      </c>
      <c r="C125" s="504"/>
      <c r="D125" s="504"/>
      <c r="E125" s="504"/>
      <c r="F125" s="504"/>
      <c r="H125" s="46" t="e">
        <f>COUNTIFS(#REF!,"South Team 1",#REF!,"&lt;&gt;NV")</f>
        <v>#REF!</v>
      </c>
      <c r="J125" s="46" t="e" cm="1">
        <f t="array" ref="J125">SUM(COUNTIFS(#REF!,"South Team 1",#REF!,{"1","2","3","4"}))</f>
        <v>#REF!</v>
      </c>
      <c r="K125" s="10"/>
      <c r="L125" s="16" t="e">
        <f>J125/H125</f>
        <v>#REF!</v>
      </c>
      <c r="M125" s="10"/>
      <c r="N125" s="16">
        <f>$F$1</f>
        <v>0.5</v>
      </c>
      <c r="O125" s="8"/>
      <c r="P125" s="46" t="e">
        <f>COUNTIFS(#REF!,"South Team 1",#REF!,3)+COUNTIFS(#REF!,"South Team 1",#REF!,4)</f>
        <v>#REF!</v>
      </c>
      <c r="Q125" s="10"/>
      <c r="R125" s="16">
        <f t="shared" si="50"/>
        <v>0</v>
      </c>
      <c r="S125" s="10"/>
      <c r="T125" s="40">
        <f t="shared" si="51"/>
        <v>0.9</v>
      </c>
      <c r="U125" s="8"/>
    </row>
    <row r="126" spans="1:21" ht="15.75" customHeight="1" x14ac:dyDescent="0.25">
      <c r="A126" s="529"/>
      <c r="B126" s="504" t="s">
        <v>12</v>
      </c>
      <c r="C126" s="504"/>
      <c r="D126" s="504"/>
      <c r="E126" s="504"/>
      <c r="F126" s="504"/>
      <c r="H126" s="46" t="e">
        <f>(COUNTIFS(#REF!,"South Team 1",#REF!,"&lt;&gt;NV"))</f>
        <v>#REF!</v>
      </c>
      <c r="J126" s="46" t="e" cm="1">
        <f t="array" ref="J126">SUM(COUNTIFS(#REF!,"South Team 1",#REF!,{"1","2","3","4"}))</f>
        <v>#REF!</v>
      </c>
      <c r="K126" s="10"/>
      <c r="L126" s="16" t="e">
        <f>J126/H126</f>
        <v>#REF!</v>
      </c>
      <c r="M126" s="10"/>
      <c r="N126" s="16">
        <f>$F$1</f>
        <v>0.5</v>
      </c>
      <c r="O126" s="8"/>
      <c r="P126" s="46" t="e">
        <f>COUNTIFS(#REF!,"South Team 1",#REF!,3)+COUNTIFS(#REF!,"South Team 1",#REF!,4)</f>
        <v>#REF!</v>
      </c>
      <c r="Q126" s="10"/>
      <c r="R126" s="16">
        <f t="shared" si="50"/>
        <v>0</v>
      </c>
      <c r="S126" s="10"/>
      <c r="T126" s="40">
        <f t="shared" si="51"/>
        <v>0.9</v>
      </c>
      <c r="U126" s="8"/>
    </row>
    <row r="127" spans="1:21" ht="15.75" customHeight="1" x14ac:dyDescent="0.25">
      <c r="A127" s="530"/>
      <c r="B127" s="504" t="s">
        <v>13</v>
      </c>
      <c r="C127" s="504"/>
      <c r="D127" s="504"/>
      <c r="E127" s="504"/>
      <c r="F127" s="504"/>
      <c r="H127" s="144" t="e">
        <f>SUM(H124:H126)</f>
        <v>#REF!</v>
      </c>
      <c r="J127" s="46" t="e">
        <f>J124+J125+J126</f>
        <v>#REF!</v>
      </c>
      <c r="K127" s="10"/>
      <c r="L127" s="16" t="e">
        <f>J127/H127</f>
        <v>#REF!</v>
      </c>
      <c r="M127" s="10"/>
      <c r="N127" s="16">
        <f>$F$1</f>
        <v>0.5</v>
      </c>
      <c r="O127" s="8"/>
      <c r="P127" s="46" t="e">
        <f>SUM(P124:P126)</f>
        <v>#REF!</v>
      </c>
      <c r="Q127" s="10"/>
      <c r="R127" s="16">
        <f t="shared" si="50"/>
        <v>0</v>
      </c>
      <c r="S127" s="10"/>
      <c r="T127" s="40">
        <f t="shared" si="51"/>
        <v>0.9</v>
      </c>
      <c r="U127" s="8"/>
    </row>
    <row r="128" spans="1:21" ht="15.75" customHeight="1" x14ac:dyDescent="0.25">
      <c r="H128"/>
      <c r="J128"/>
      <c r="P128"/>
    </row>
    <row r="129" spans="1:21" ht="15.75" customHeight="1" x14ac:dyDescent="0.25">
      <c r="A129" s="505" t="s">
        <v>38</v>
      </c>
      <c r="B129" s="504" t="s">
        <v>10</v>
      </c>
      <c r="C129" s="504"/>
      <c r="D129" s="504"/>
      <c r="E129" s="504"/>
      <c r="F129" s="504"/>
      <c r="H129" s="46" t="e">
        <f>COUNTIFS(#REF!,"South Team 2",#REF!,"&lt;&gt;NV")</f>
        <v>#REF!</v>
      </c>
      <c r="J129" s="46" t="e" cm="1">
        <f t="array" ref="J129">SUM(COUNTIFS(#REF!,"South Team 2",#REF!,{"1","2","3","4"}))</f>
        <v>#REF!</v>
      </c>
      <c r="K129" s="10"/>
      <c r="L129" s="16" t="e">
        <f>J129/H129</f>
        <v>#REF!</v>
      </c>
      <c r="M129" s="10"/>
      <c r="N129" s="16">
        <f>$F$1</f>
        <v>0.5</v>
      </c>
      <c r="O129" s="8"/>
      <c r="P129" s="46" t="e">
        <f>COUNTIFS(#REF!,"South Team 2",#REF!,3)+COUNTIFS(#REF!,"South Team 2",#REF!,4)</f>
        <v>#REF!</v>
      </c>
      <c r="Q129" s="10"/>
      <c r="R129" s="16">
        <f t="shared" ref="R129:R132" si="52">IFERROR(P129/J129,0)</f>
        <v>0</v>
      </c>
      <c r="S129" s="10"/>
      <c r="T129" s="40">
        <f t="shared" ref="T129:T132" si="53">$Q$1</f>
        <v>0.9</v>
      </c>
      <c r="U129" s="8"/>
    </row>
    <row r="130" spans="1:21" ht="15.75" customHeight="1" x14ac:dyDescent="0.25">
      <c r="A130" s="529"/>
      <c r="B130" s="504" t="s">
        <v>11</v>
      </c>
      <c r="C130" s="504"/>
      <c r="D130" s="504"/>
      <c r="E130" s="504"/>
      <c r="F130" s="504"/>
      <c r="H130" s="46" t="e">
        <f>COUNTIFS(#REF!,"South Team 2",#REF!,"&lt;&gt;NV")</f>
        <v>#REF!</v>
      </c>
      <c r="J130" s="46" t="e" cm="1">
        <f t="array" ref="J130">SUM(COUNTIFS(#REF!,"South Team 2",#REF!,{"1","2","3","4"}))</f>
        <v>#REF!</v>
      </c>
      <c r="K130" s="10"/>
      <c r="L130" s="16" t="e">
        <f>J130/H130</f>
        <v>#REF!</v>
      </c>
      <c r="M130" s="10"/>
      <c r="N130" s="16">
        <f>$F$1</f>
        <v>0.5</v>
      </c>
      <c r="O130" s="8"/>
      <c r="P130" s="46" t="e">
        <f>COUNTIFS(#REF!,"South Team 2",#REF!,3)+COUNTIFS(#REF!,"South Team 2",#REF!,4)</f>
        <v>#REF!</v>
      </c>
      <c r="Q130" s="10"/>
      <c r="R130" s="16">
        <f t="shared" si="52"/>
        <v>0</v>
      </c>
      <c r="S130" s="10"/>
      <c r="T130" s="40">
        <f t="shared" si="53"/>
        <v>0.9</v>
      </c>
      <c r="U130" s="8"/>
    </row>
    <row r="131" spans="1:21" ht="15.75" customHeight="1" x14ac:dyDescent="0.25">
      <c r="A131" s="529"/>
      <c r="B131" s="504" t="s">
        <v>12</v>
      </c>
      <c r="C131" s="504"/>
      <c r="D131" s="504"/>
      <c r="E131" s="504"/>
      <c r="F131" s="504"/>
      <c r="H131" s="46" t="e">
        <f>(COUNTIFS(#REF!,"South Team 2",#REF!,"&lt;&gt;NV"))</f>
        <v>#REF!</v>
      </c>
      <c r="J131" s="46" t="e" cm="1">
        <f t="array" ref="J131">SUM(COUNTIFS(#REF!,"South Team 2",#REF!,{"1","2","3","4"}))</f>
        <v>#REF!</v>
      </c>
      <c r="K131" s="10"/>
      <c r="L131" s="16" t="e">
        <f>J131/H131</f>
        <v>#REF!</v>
      </c>
      <c r="M131" s="10"/>
      <c r="N131" s="16">
        <f>$F$1</f>
        <v>0.5</v>
      </c>
      <c r="O131" s="8"/>
      <c r="P131" s="46" t="e">
        <f>COUNTIFS(#REF!,"South Team 2",#REF!,3)+COUNTIFS(#REF!,"South Team 2",#REF!,4)</f>
        <v>#REF!</v>
      </c>
      <c r="Q131" s="10"/>
      <c r="R131" s="16">
        <f t="shared" si="52"/>
        <v>0</v>
      </c>
      <c r="S131" s="10"/>
      <c r="T131" s="40">
        <f t="shared" si="53"/>
        <v>0.9</v>
      </c>
      <c r="U131" s="8"/>
    </row>
    <row r="132" spans="1:21" ht="15.75" customHeight="1" x14ac:dyDescent="0.25">
      <c r="A132" s="530"/>
      <c r="B132" s="504" t="s">
        <v>13</v>
      </c>
      <c r="C132" s="504"/>
      <c r="D132" s="504"/>
      <c r="E132" s="504"/>
      <c r="F132" s="504"/>
      <c r="H132" s="144" t="e">
        <f>SUM(H129:H131)</f>
        <v>#REF!</v>
      </c>
      <c r="J132" s="46" t="e">
        <f>J129+J130+J131</f>
        <v>#REF!</v>
      </c>
      <c r="K132" s="10"/>
      <c r="L132" s="16" t="e">
        <f>J132/H132</f>
        <v>#REF!</v>
      </c>
      <c r="M132" s="10"/>
      <c r="N132" s="16">
        <f>$F$1</f>
        <v>0.5</v>
      </c>
      <c r="O132" s="8"/>
      <c r="P132" s="46" t="e">
        <f>SUM(P129:P131)</f>
        <v>#REF!</v>
      </c>
      <c r="Q132" s="10"/>
      <c r="R132" s="16">
        <f t="shared" si="52"/>
        <v>0</v>
      </c>
      <c r="S132" s="10"/>
      <c r="T132" s="40">
        <f t="shared" si="53"/>
        <v>0.9</v>
      </c>
      <c r="U132" s="8"/>
    </row>
    <row r="133" spans="1:21" ht="15.75" customHeight="1" thickBot="1" x14ac:dyDescent="0.3">
      <c r="H133"/>
      <c r="J133"/>
      <c r="P133"/>
    </row>
    <row r="134" spans="1:21" ht="15.75" customHeight="1" x14ac:dyDescent="0.25">
      <c r="A134" s="517" t="s">
        <v>39</v>
      </c>
      <c r="B134" s="50" t="s">
        <v>10</v>
      </c>
      <c r="C134" s="50"/>
      <c r="D134" s="50"/>
      <c r="E134" s="50"/>
      <c r="F134" s="51"/>
      <c r="G134" s="15"/>
      <c r="H134" s="46" t="e">
        <f>SUM(H4+H9+H19+H24+H29+H34+H39+H49)</f>
        <v>#REF!</v>
      </c>
      <c r="I134" s="10"/>
      <c r="J134" s="46" t="e">
        <f>SUM(J4+J9+J19+J24+J29+J34+J39+J49)</f>
        <v>#REF!</v>
      </c>
      <c r="K134" s="10"/>
      <c r="L134" s="16" t="e">
        <f>J134/H134</f>
        <v>#REF!</v>
      </c>
      <c r="M134" s="10"/>
      <c r="N134" s="16">
        <f>$F$1</f>
        <v>0.5</v>
      </c>
      <c r="O134" s="8"/>
      <c r="P134" s="46" t="e">
        <f>SUM(P4+P9+P19+P24+P29+P34+P39+P49)</f>
        <v>#REF!</v>
      </c>
      <c r="Q134" s="10"/>
      <c r="R134" s="16">
        <f t="shared" ref="R134:R137" si="54">IFERROR(P134/J134,0)</f>
        <v>0</v>
      </c>
      <c r="S134" s="10"/>
      <c r="T134" s="40">
        <f t="shared" ref="T134:T152" si="55">$Q$1</f>
        <v>0.9</v>
      </c>
      <c r="U134" s="8"/>
    </row>
    <row r="135" spans="1:21" ht="15.75" customHeight="1" x14ac:dyDescent="0.25">
      <c r="A135" s="518"/>
      <c r="B135" s="50" t="s">
        <v>11</v>
      </c>
      <c r="C135" s="50"/>
      <c r="D135" s="50"/>
      <c r="E135" s="50"/>
      <c r="F135" s="51"/>
      <c r="G135" s="15"/>
      <c r="H135" s="46" t="e">
        <f>SUM(H5+H10+H20+H25+H30+H35+H40+H50)</f>
        <v>#REF!</v>
      </c>
      <c r="I135" s="10"/>
      <c r="J135" s="46" t="e">
        <f>SUM(J5+J10+J20+J25+J30+J35+J40+J50)</f>
        <v>#REF!</v>
      </c>
      <c r="K135" s="10"/>
      <c r="L135" s="16" t="e">
        <f>J135/H135</f>
        <v>#REF!</v>
      </c>
      <c r="M135" s="10"/>
      <c r="N135" s="16">
        <f>$F$1</f>
        <v>0.5</v>
      </c>
      <c r="O135" s="8"/>
      <c r="P135" s="46" t="e">
        <f>SUM(P5+P10+P20+P25+P30+P35+P40+P50)</f>
        <v>#REF!</v>
      </c>
      <c r="Q135" s="10"/>
      <c r="R135" s="16">
        <f t="shared" si="54"/>
        <v>0</v>
      </c>
      <c r="S135" s="10"/>
      <c r="T135" s="40">
        <f t="shared" si="55"/>
        <v>0.9</v>
      </c>
      <c r="U135" s="8"/>
    </row>
    <row r="136" spans="1:21" ht="15.75" customHeight="1" x14ac:dyDescent="0.25">
      <c r="A136" s="518"/>
      <c r="B136" s="50" t="s">
        <v>12</v>
      </c>
      <c r="C136" s="50"/>
      <c r="D136" s="50"/>
      <c r="E136" s="50"/>
      <c r="F136" s="51"/>
      <c r="G136" s="15"/>
      <c r="H136" s="46" t="e">
        <f>SUM(H6+H11+H21+H26+H31+H36+H41+H51)</f>
        <v>#REF!</v>
      </c>
      <c r="I136" s="10"/>
      <c r="J136" s="46" t="e">
        <f>SUM(J6+J11+J21+J26+J31+J36+J41+J51)</f>
        <v>#REF!</v>
      </c>
      <c r="K136" s="10"/>
      <c r="L136" s="16" t="e">
        <f>J136/H136</f>
        <v>#REF!</v>
      </c>
      <c r="M136" s="10"/>
      <c r="N136" s="16">
        <f>$F$1</f>
        <v>0.5</v>
      </c>
      <c r="O136" s="8"/>
      <c r="P136" s="46" t="e">
        <f>SUM(P6+P11+P21+P26+P31+P36+P41+P51)</f>
        <v>#REF!</v>
      </c>
      <c r="Q136" s="10"/>
      <c r="R136" s="16">
        <f t="shared" si="54"/>
        <v>0</v>
      </c>
      <c r="S136" s="10"/>
      <c r="T136" s="40">
        <f t="shared" si="55"/>
        <v>0.9</v>
      </c>
      <c r="U136" s="8"/>
    </row>
    <row r="137" spans="1:21" ht="15.75" customHeight="1" thickBot="1" x14ac:dyDescent="0.3">
      <c r="A137" s="519"/>
      <c r="B137" s="50" t="s">
        <v>13</v>
      </c>
      <c r="C137" s="50"/>
      <c r="D137" s="50"/>
      <c r="E137" s="50"/>
      <c r="F137" s="51"/>
      <c r="G137" s="8"/>
      <c r="H137" s="46" t="e">
        <f>SUM(H134+H135+H136)</f>
        <v>#REF!</v>
      </c>
      <c r="I137" s="10"/>
      <c r="J137" s="46" t="e">
        <f>SUM(J7+J12+J22+J27+J32+J37+J42+J52)</f>
        <v>#REF!</v>
      </c>
      <c r="K137" s="10"/>
      <c r="L137" s="16" t="e">
        <f>J137/H137</f>
        <v>#REF!</v>
      </c>
      <c r="M137" s="10"/>
      <c r="N137" s="16">
        <f>$F$1</f>
        <v>0.5</v>
      </c>
      <c r="O137" s="8"/>
      <c r="P137" s="46" t="e">
        <f>SUM(P7+P12+P22+P27+P32+P37+P42+P52)</f>
        <v>#REF!</v>
      </c>
      <c r="Q137" s="10"/>
      <c r="R137" s="16">
        <f t="shared" si="54"/>
        <v>0</v>
      </c>
      <c r="S137" s="10"/>
      <c r="T137" s="40">
        <f t="shared" si="55"/>
        <v>0.9</v>
      </c>
      <c r="U137" s="8"/>
    </row>
    <row r="138" spans="1:21" ht="15.75" customHeight="1" thickBot="1" x14ac:dyDescent="0.3">
      <c r="H138"/>
      <c r="J138"/>
      <c r="P138"/>
    </row>
    <row r="139" spans="1:21" ht="15.75" customHeight="1" x14ac:dyDescent="0.25">
      <c r="A139" s="520" t="s">
        <v>40</v>
      </c>
      <c r="B139" s="50" t="s">
        <v>10</v>
      </c>
      <c r="C139" s="50"/>
      <c r="D139" s="50"/>
      <c r="E139" s="50"/>
      <c r="F139" s="51"/>
      <c r="G139" s="15"/>
      <c r="H139" s="46" t="e">
        <f>SUM(H14+H44+H54+H124+H129)</f>
        <v>#REF!</v>
      </c>
      <c r="I139" s="10"/>
      <c r="J139" s="46" t="e">
        <f>SUM(J14+J44+J54+J124+J129)</f>
        <v>#REF!</v>
      </c>
      <c r="K139" s="10"/>
      <c r="L139" s="16" t="e">
        <f>J139/H139</f>
        <v>#REF!</v>
      </c>
      <c r="M139" s="10"/>
      <c r="N139" s="16">
        <f>$F$1</f>
        <v>0.5</v>
      </c>
      <c r="O139" s="8"/>
      <c r="P139" s="46" t="e">
        <f>SUM(P14+P44+P54+P124+P129)</f>
        <v>#REF!</v>
      </c>
      <c r="Q139" s="10"/>
      <c r="R139" s="16">
        <f t="shared" ref="R139:R142" si="56">IFERROR(P139/J139,0)</f>
        <v>0</v>
      </c>
      <c r="S139" s="10"/>
      <c r="T139" s="40">
        <f t="shared" si="55"/>
        <v>0.9</v>
      </c>
      <c r="U139" s="8"/>
    </row>
    <row r="140" spans="1:21" ht="15.75" customHeight="1" x14ac:dyDescent="0.25">
      <c r="A140" s="521"/>
      <c r="B140" s="50" t="s">
        <v>11</v>
      </c>
      <c r="C140" s="50"/>
      <c r="D140" s="50"/>
      <c r="E140" s="50"/>
      <c r="F140" s="51"/>
      <c r="G140" s="15"/>
      <c r="H140" s="46" t="e">
        <f>SUM(H15+H45+H55+H125+H130)</f>
        <v>#REF!</v>
      </c>
      <c r="I140" s="10"/>
      <c r="J140" s="46" t="e">
        <f>SUM(J15+J45+J55+J125+J130)</f>
        <v>#REF!</v>
      </c>
      <c r="K140" s="10"/>
      <c r="L140" s="16" t="e">
        <f>J140/H140</f>
        <v>#REF!</v>
      </c>
      <c r="M140" s="10"/>
      <c r="N140" s="16">
        <f>$F$1</f>
        <v>0.5</v>
      </c>
      <c r="O140" s="8"/>
      <c r="P140" s="46" t="e">
        <f>SUM(P15+P45+P55+P125+P130)</f>
        <v>#REF!</v>
      </c>
      <c r="Q140" s="10"/>
      <c r="R140" s="16">
        <f t="shared" si="56"/>
        <v>0</v>
      </c>
      <c r="S140" s="10"/>
      <c r="T140" s="40">
        <f t="shared" si="55"/>
        <v>0.9</v>
      </c>
      <c r="U140" s="8"/>
    </row>
    <row r="141" spans="1:21" ht="15.75" customHeight="1" x14ac:dyDescent="0.25">
      <c r="A141" s="521"/>
      <c r="B141" s="50" t="s">
        <v>12</v>
      </c>
      <c r="C141" s="50"/>
      <c r="D141" s="50"/>
      <c r="E141" s="50"/>
      <c r="F141" s="51"/>
      <c r="G141" s="15"/>
      <c r="H141" s="46" t="e">
        <f>SUM(H16+H46+H56+H126+H131)</f>
        <v>#REF!</v>
      </c>
      <c r="I141" s="10"/>
      <c r="J141" s="46" t="e">
        <f>SUM(J16+J46+J56+J126+J131)</f>
        <v>#REF!</v>
      </c>
      <c r="K141" s="10"/>
      <c r="L141" s="16" t="e">
        <f>J141/H141</f>
        <v>#REF!</v>
      </c>
      <c r="M141" s="10"/>
      <c r="N141" s="16">
        <f>$F$1</f>
        <v>0.5</v>
      </c>
      <c r="O141" s="8"/>
      <c r="P141" s="46" t="e">
        <f>SUM(P16+P46+P56+P126+P131)</f>
        <v>#REF!</v>
      </c>
      <c r="Q141" s="10"/>
      <c r="R141" s="16">
        <f t="shared" si="56"/>
        <v>0</v>
      </c>
      <c r="S141" s="10"/>
      <c r="T141" s="40">
        <f t="shared" si="55"/>
        <v>0.9</v>
      </c>
      <c r="U141" s="8"/>
    </row>
    <row r="142" spans="1:21" ht="15.75" customHeight="1" thickBot="1" x14ac:dyDescent="0.3">
      <c r="A142" s="522"/>
      <c r="B142" s="50" t="s">
        <v>13</v>
      </c>
      <c r="C142" s="50"/>
      <c r="D142" s="50"/>
      <c r="E142" s="50"/>
      <c r="F142" s="51"/>
      <c r="G142" s="8"/>
      <c r="H142" s="46" t="e">
        <f>SUM(H139+H140+H141)</f>
        <v>#REF!</v>
      </c>
      <c r="I142" s="10"/>
      <c r="J142" s="46" t="e">
        <f>SUM(J139+J140+J141)</f>
        <v>#REF!</v>
      </c>
      <c r="K142" s="10"/>
      <c r="L142" s="16" t="e">
        <f>J142/H142</f>
        <v>#REF!</v>
      </c>
      <c r="M142" s="10"/>
      <c r="N142" s="16">
        <f>$F$1</f>
        <v>0.5</v>
      </c>
      <c r="O142" s="8"/>
      <c r="P142" s="46" t="e">
        <f>SUM(P139+P140+P141)</f>
        <v>#REF!</v>
      </c>
      <c r="Q142" s="10"/>
      <c r="R142" s="16">
        <f t="shared" si="56"/>
        <v>0</v>
      </c>
      <c r="S142" s="10"/>
      <c r="T142" s="40">
        <f t="shared" si="55"/>
        <v>0.9</v>
      </c>
      <c r="U142" s="8"/>
    </row>
    <row r="143" spans="1:21" ht="15.75" thickBot="1" x14ac:dyDescent="0.3">
      <c r="H143"/>
      <c r="J143"/>
      <c r="P143"/>
    </row>
    <row r="144" spans="1:21" ht="15.75" x14ac:dyDescent="0.25">
      <c r="A144" s="523" t="s">
        <v>41</v>
      </c>
      <c r="B144" s="50" t="s">
        <v>10</v>
      </c>
      <c r="C144" s="50"/>
      <c r="D144" s="50"/>
      <c r="E144" s="50"/>
      <c r="F144" s="51"/>
      <c r="G144" s="15"/>
      <c r="H144" s="46" t="e">
        <f>SUM(H59+H69+H74+H79+H84)</f>
        <v>#REF!</v>
      </c>
      <c r="I144" s="10"/>
      <c r="J144" s="46" t="e">
        <f>SUM(J59+J69+J74+J79+J84)</f>
        <v>#REF!</v>
      </c>
      <c r="K144" s="10"/>
      <c r="L144" s="16" t="e">
        <f>J144/H144</f>
        <v>#REF!</v>
      </c>
      <c r="M144" s="10"/>
      <c r="N144" s="16">
        <f>$F$1</f>
        <v>0.5</v>
      </c>
      <c r="O144" s="8"/>
      <c r="P144" s="46" t="e">
        <f>SUM(P59+P69+P74+P79+P84)</f>
        <v>#REF!</v>
      </c>
      <c r="Q144" s="10"/>
      <c r="R144" s="16">
        <f t="shared" ref="R144:R147" si="57">IFERROR(P144/J144,0)</f>
        <v>0</v>
      </c>
      <c r="S144" s="10"/>
      <c r="T144" s="40">
        <f t="shared" si="55"/>
        <v>0.9</v>
      </c>
    </row>
    <row r="145" spans="1:20" ht="15.75" x14ac:dyDescent="0.25">
      <c r="A145" s="524"/>
      <c r="B145" s="50" t="s">
        <v>11</v>
      </c>
      <c r="C145" s="50"/>
      <c r="D145" s="50"/>
      <c r="E145" s="50"/>
      <c r="F145" s="51"/>
      <c r="G145" s="15"/>
      <c r="H145" s="46" t="e">
        <f>SUM(H60+H70+H75+H80+H85)</f>
        <v>#REF!</v>
      </c>
      <c r="I145" s="10"/>
      <c r="J145" s="46" t="e">
        <f>SUM(J60+J70+J75+J80+J85)</f>
        <v>#REF!</v>
      </c>
      <c r="K145" s="10"/>
      <c r="L145" s="16" t="e">
        <f>J145/H145</f>
        <v>#REF!</v>
      </c>
      <c r="M145" s="10"/>
      <c r="N145" s="16">
        <f>$F$1</f>
        <v>0.5</v>
      </c>
      <c r="O145" s="8"/>
      <c r="P145" s="46" t="e">
        <f>SUM(P60+P70+P75+P80+P85)</f>
        <v>#REF!</v>
      </c>
      <c r="Q145" s="10"/>
      <c r="R145" s="16">
        <f t="shared" si="57"/>
        <v>0</v>
      </c>
      <c r="S145" s="10"/>
      <c r="T145" s="40">
        <f t="shared" si="55"/>
        <v>0.9</v>
      </c>
    </row>
    <row r="146" spans="1:20" ht="15.75" x14ac:dyDescent="0.25">
      <c r="A146" s="524"/>
      <c r="B146" s="50" t="s">
        <v>12</v>
      </c>
      <c r="C146" s="50"/>
      <c r="D146" s="50"/>
      <c r="E146" s="50"/>
      <c r="F146" s="51"/>
      <c r="G146" s="15"/>
      <c r="H146" s="46" t="e">
        <f>SUM(H61+H71+H76+H81+H86)</f>
        <v>#REF!</v>
      </c>
      <c r="I146" s="10"/>
      <c r="J146" s="46" t="e">
        <f>SUM(J61+J71+J76+J81+J86)</f>
        <v>#REF!</v>
      </c>
      <c r="K146" s="10"/>
      <c r="L146" s="16" t="e">
        <f>J146/H146</f>
        <v>#REF!</v>
      </c>
      <c r="M146" s="10"/>
      <c r="N146" s="16">
        <f>$F$1</f>
        <v>0.5</v>
      </c>
      <c r="O146" s="8"/>
      <c r="P146" s="46" t="e">
        <f>SUM(P61+P71+P76+P81+P86)</f>
        <v>#REF!</v>
      </c>
      <c r="Q146" s="10"/>
      <c r="R146" s="16">
        <f t="shared" si="57"/>
        <v>0</v>
      </c>
      <c r="S146" s="10"/>
      <c r="T146" s="40">
        <f t="shared" si="55"/>
        <v>0.9</v>
      </c>
    </row>
    <row r="147" spans="1:20" ht="15.75" thickBot="1" x14ac:dyDescent="0.3">
      <c r="A147" s="525"/>
      <c r="B147" s="50" t="s">
        <v>13</v>
      </c>
      <c r="C147" s="50"/>
      <c r="D147" s="50"/>
      <c r="E147" s="50"/>
      <c r="F147" s="51"/>
      <c r="G147" s="8"/>
      <c r="H147" s="46" t="e">
        <f>SUM(H144+H145+H146)</f>
        <v>#REF!</v>
      </c>
      <c r="I147" s="10"/>
      <c r="J147" s="46" t="e">
        <f>SUM(J144+J145+J146)</f>
        <v>#REF!</v>
      </c>
      <c r="K147" s="10"/>
      <c r="L147" s="16" t="e">
        <f>J147/H147</f>
        <v>#REF!</v>
      </c>
      <c r="M147" s="10"/>
      <c r="N147" s="16">
        <f>$F$1</f>
        <v>0.5</v>
      </c>
      <c r="O147" s="8"/>
      <c r="P147" s="46" t="e">
        <f>SUM(P144+P145+P146)</f>
        <v>#REF!</v>
      </c>
      <c r="Q147" s="10"/>
      <c r="R147" s="16">
        <f t="shared" si="57"/>
        <v>0</v>
      </c>
      <c r="S147" s="10"/>
      <c r="T147" s="40">
        <f t="shared" si="55"/>
        <v>0.9</v>
      </c>
    </row>
    <row r="148" spans="1:20" ht="15.75" thickBot="1" x14ac:dyDescent="0.3">
      <c r="H148"/>
      <c r="J148"/>
      <c r="P148"/>
    </row>
    <row r="149" spans="1:20" ht="15.75" x14ac:dyDescent="0.25">
      <c r="A149" s="526" t="s">
        <v>42</v>
      </c>
      <c r="B149" s="50" t="s">
        <v>10</v>
      </c>
      <c r="C149" s="50"/>
      <c r="D149" s="50"/>
      <c r="E149" s="50"/>
      <c r="F149" s="51"/>
      <c r="G149" s="15"/>
      <c r="H149" s="46" t="e">
        <f>SUM(H89+H94+H99+H104+H109+H114+H119)</f>
        <v>#REF!</v>
      </c>
      <c r="I149" s="10"/>
      <c r="J149" s="46" t="e">
        <f>SUM(J89+J94+J99+J104+J109+J114+J119)</f>
        <v>#REF!</v>
      </c>
      <c r="K149" s="10"/>
      <c r="L149" s="16" t="e">
        <f>J149/H149</f>
        <v>#REF!</v>
      </c>
      <c r="M149" s="10"/>
      <c r="N149" s="16">
        <f>$F$1</f>
        <v>0.5</v>
      </c>
      <c r="O149" s="8"/>
      <c r="P149" s="46" t="e">
        <f>SUM(P89+P94+P99+P104+P109+P114+P119)</f>
        <v>#REF!</v>
      </c>
      <c r="Q149" s="10"/>
      <c r="R149" s="16">
        <f t="shared" ref="R149:R152" si="58">IFERROR(P149/J149,0)</f>
        <v>0</v>
      </c>
      <c r="S149" s="10"/>
      <c r="T149" s="40">
        <f t="shared" si="55"/>
        <v>0.9</v>
      </c>
    </row>
    <row r="150" spans="1:20" ht="15.75" x14ac:dyDescent="0.25">
      <c r="A150" s="527"/>
      <c r="B150" s="50" t="s">
        <v>11</v>
      </c>
      <c r="C150" s="50"/>
      <c r="D150" s="50"/>
      <c r="E150" s="50"/>
      <c r="F150" s="51"/>
      <c r="G150" s="15"/>
      <c r="H150" s="46" t="e">
        <f>SUM(H90+H95+H100+H105+H110+H115+H120)</f>
        <v>#REF!</v>
      </c>
      <c r="I150" s="10"/>
      <c r="J150" s="46" t="e">
        <f>SUM(J90+J95+J100+J105+J110+J115+J120)</f>
        <v>#REF!</v>
      </c>
      <c r="K150" s="10"/>
      <c r="L150" s="16" t="e">
        <f>J150/H150</f>
        <v>#REF!</v>
      </c>
      <c r="M150" s="10"/>
      <c r="N150" s="16">
        <f>$F$1</f>
        <v>0.5</v>
      </c>
      <c r="O150" s="8"/>
      <c r="P150" s="46" t="e">
        <f>SUM(P90+P95+P100+P105+P110+P115+P120)</f>
        <v>#REF!</v>
      </c>
      <c r="Q150" s="10"/>
      <c r="R150" s="16">
        <f t="shared" si="58"/>
        <v>0</v>
      </c>
      <c r="S150" s="10"/>
      <c r="T150" s="40">
        <f t="shared" si="55"/>
        <v>0.9</v>
      </c>
    </row>
    <row r="151" spans="1:20" ht="15.75" x14ac:dyDescent="0.25">
      <c r="A151" s="527"/>
      <c r="B151" s="50" t="s">
        <v>12</v>
      </c>
      <c r="C151" s="50"/>
      <c r="D151" s="50"/>
      <c r="E151" s="50"/>
      <c r="F151" s="51"/>
      <c r="G151" s="15"/>
      <c r="H151" s="46" t="e">
        <f>SUM(H91+H96+H101+H106+H111+H116+H121)</f>
        <v>#REF!</v>
      </c>
      <c r="I151" s="10"/>
      <c r="J151" s="46" t="e">
        <f>SUM(J91+J96+J101+J106+J111+J116+J121)</f>
        <v>#REF!</v>
      </c>
      <c r="K151" s="10"/>
      <c r="L151" s="16" t="e">
        <f>J151/H151</f>
        <v>#REF!</v>
      </c>
      <c r="M151" s="10"/>
      <c r="N151" s="16">
        <f>$F$1</f>
        <v>0.5</v>
      </c>
      <c r="O151" s="8"/>
      <c r="P151" s="46" t="e">
        <f>SUM(P91+P96+P101+P106+P111+P116+P121)</f>
        <v>#REF!</v>
      </c>
      <c r="Q151" s="10"/>
      <c r="R151" s="16">
        <f t="shared" si="58"/>
        <v>0</v>
      </c>
      <c r="S151" s="10"/>
      <c r="T151" s="40">
        <f t="shared" si="55"/>
        <v>0.9</v>
      </c>
    </row>
    <row r="152" spans="1:20" ht="15.75" thickBot="1" x14ac:dyDescent="0.3">
      <c r="A152" s="528"/>
      <c r="B152" s="50" t="s">
        <v>13</v>
      </c>
      <c r="C152" s="50"/>
      <c r="D152" s="50"/>
      <c r="E152" s="50"/>
      <c r="F152" s="51"/>
      <c r="G152" s="8"/>
      <c r="H152" s="46" t="e">
        <f>SUM(H149+H150+H151)</f>
        <v>#REF!</v>
      </c>
      <c r="I152" s="10"/>
      <c r="J152" s="46" t="e">
        <f>SUM(J149+J150+J151)</f>
        <v>#REF!</v>
      </c>
      <c r="K152" s="10"/>
      <c r="L152" s="16" t="e">
        <f>J152/H152</f>
        <v>#REF!</v>
      </c>
      <c r="M152" s="10"/>
      <c r="N152" s="16">
        <f>$F$1</f>
        <v>0.5</v>
      </c>
      <c r="O152" s="8"/>
      <c r="P152" s="46" t="e">
        <f>SUM(P149+P150+P151)</f>
        <v>#REF!</v>
      </c>
      <c r="Q152" s="10"/>
      <c r="R152" s="16">
        <f t="shared" si="58"/>
        <v>0</v>
      </c>
      <c r="S152" s="10"/>
      <c r="T152" s="40">
        <f t="shared" si="55"/>
        <v>0.9</v>
      </c>
    </row>
    <row r="153" spans="1:20" ht="15.75" thickBot="1" x14ac:dyDescent="0.3">
      <c r="H153"/>
      <c r="J153"/>
      <c r="P153"/>
    </row>
    <row r="154" spans="1:20" ht="29.25" customHeight="1" thickBot="1" x14ac:dyDescent="0.3">
      <c r="E154" s="149" t="s">
        <v>43</v>
      </c>
      <c r="F154" s="150"/>
      <c r="H154" s="151" t="e">
        <f>SUM(H137+H142+H148+H152)</f>
        <v>#REF!</v>
      </c>
      <c r="J154" s="151" t="e">
        <f>SUM(J137+J142+J147+J152)</f>
        <v>#REF!</v>
      </c>
      <c r="L154" s="152" t="e">
        <f>SUM(J154/H154)</f>
        <v>#REF!</v>
      </c>
      <c r="N154" s="16">
        <f>$F$1</f>
        <v>0.5</v>
      </c>
      <c r="P154" s="151" t="e">
        <f>SUM(P137+P142+P147+P152)</f>
        <v>#REF!</v>
      </c>
      <c r="R154" s="152">
        <f>IFERROR(P154/J154,0)</f>
        <v>0</v>
      </c>
      <c r="T154" s="153">
        <f>IFERROR(P154/J154,0)</f>
        <v>0</v>
      </c>
    </row>
  </sheetData>
  <mergeCells count="134">
    <mergeCell ref="A134:A137"/>
    <mergeCell ref="A139:A142"/>
    <mergeCell ref="A144:A147"/>
    <mergeCell ref="A149:A152"/>
    <mergeCell ref="A124:A127"/>
    <mergeCell ref="B124:F124"/>
    <mergeCell ref="B125:F125"/>
    <mergeCell ref="B126:F126"/>
    <mergeCell ref="B127:F127"/>
    <mergeCell ref="A129:A132"/>
    <mergeCell ref="B129:F129"/>
    <mergeCell ref="B130:F130"/>
    <mergeCell ref="B131:F131"/>
    <mergeCell ref="B132:F132"/>
    <mergeCell ref="A114:A117"/>
    <mergeCell ref="B114:F114"/>
    <mergeCell ref="B115:F115"/>
    <mergeCell ref="B116:F116"/>
    <mergeCell ref="B117:F117"/>
    <mergeCell ref="A119:A122"/>
    <mergeCell ref="B119:F119"/>
    <mergeCell ref="B120:F120"/>
    <mergeCell ref="B121:F121"/>
    <mergeCell ref="B122:F122"/>
    <mergeCell ref="A104:A107"/>
    <mergeCell ref="B104:F104"/>
    <mergeCell ref="B105:F105"/>
    <mergeCell ref="B106:F106"/>
    <mergeCell ref="B107:F107"/>
    <mergeCell ref="A109:A112"/>
    <mergeCell ref="B109:F109"/>
    <mergeCell ref="B110:F110"/>
    <mergeCell ref="B111:F111"/>
    <mergeCell ref="B112:F112"/>
    <mergeCell ref="A94:A97"/>
    <mergeCell ref="B94:F94"/>
    <mergeCell ref="B95:F95"/>
    <mergeCell ref="B96:F96"/>
    <mergeCell ref="B97:F97"/>
    <mergeCell ref="A99:A102"/>
    <mergeCell ref="B99:F99"/>
    <mergeCell ref="B100:F100"/>
    <mergeCell ref="B101:F101"/>
    <mergeCell ref="B102:F102"/>
    <mergeCell ref="A84:A87"/>
    <mergeCell ref="B84:F84"/>
    <mergeCell ref="B85:F85"/>
    <mergeCell ref="B86:F86"/>
    <mergeCell ref="B87:F87"/>
    <mergeCell ref="A89:A92"/>
    <mergeCell ref="B89:F89"/>
    <mergeCell ref="B90:F90"/>
    <mergeCell ref="B91:F91"/>
    <mergeCell ref="B92:F92"/>
    <mergeCell ref="A74:A77"/>
    <mergeCell ref="B74:F74"/>
    <mergeCell ref="B75:F75"/>
    <mergeCell ref="B76:F76"/>
    <mergeCell ref="B77:F77"/>
    <mergeCell ref="A79:A82"/>
    <mergeCell ref="B79:F79"/>
    <mergeCell ref="B80:F80"/>
    <mergeCell ref="B81:F81"/>
    <mergeCell ref="B82:F82"/>
    <mergeCell ref="A64:A67"/>
    <mergeCell ref="B64:F64"/>
    <mergeCell ref="B65:F65"/>
    <mergeCell ref="B66:F66"/>
    <mergeCell ref="B67:F67"/>
    <mergeCell ref="A69:A72"/>
    <mergeCell ref="B69:F69"/>
    <mergeCell ref="B70:F70"/>
    <mergeCell ref="B71:F71"/>
    <mergeCell ref="B72:F72"/>
    <mergeCell ref="A54:A57"/>
    <mergeCell ref="B54:F54"/>
    <mergeCell ref="B55:F55"/>
    <mergeCell ref="B56:F56"/>
    <mergeCell ref="B57:F57"/>
    <mergeCell ref="A59:A62"/>
    <mergeCell ref="B59:F59"/>
    <mergeCell ref="B60:F60"/>
    <mergeCell ref="B61:F61"/>
    <mergeCell ref="B62:F62"/>
    <mergeCell ref="A44:A47"/>
    <mergeCell ref="B44:F44"/>
    <mergeCell ref="B45:F45"/>
    <mergeCell ref="B46:F46"/>
    <mergeCell ref="B47:F47"/>
    <mergeCell ref="A49:A52"/>
    <mergeCell ref="B49:F49"/>
    <mergeCell ref="B50:F50"/>
    <mergeCell ref="B51:F51"/>
    <mergeCell ref="B52:F52"/>
    <mergeCell ref="A34:A37"/>
    <mergeCell ref="B34:F34"/>
    <mergeCell ref="B35:F35"/>
    <mergeCell ref="B36:F36"/>
    <mergeCell ref="B37:F37"/>
    <mergeCell ref="A39:A42"/>
    <mergeCell ref="B39:F39"/>
    <mergeCell ref="B40:F40"/>
    <mergeCell ref="B41:F41"/>
    <mergeCell ref="B42:F42"/>
    <mergeCell ref="A24:A27"/>
    <mergeCell ref="B24:F24"/>
    <mergeCell ref="B25:F25"/>
    <mergeCell ref="B26:F26"/>
    <mergeCell ref="B27:F27"/>
    <mergeCell ref="A29:A32"/>
    <mergeCell ref="B29:F29"/>
    <mergeCell ref="B30:F30"/>
    <mergeCell ref="B31:F31"/>
    <mergeCell ref="B32:F32"/>
    <mergeCell ref="A14:A17"/>
    <mergeCell ref="B14:F14"/>
    <mergeCell ref="B15:F15"/>
    <mergeCell ref="B16:F16"/>
    <mergeCell ref="B17:F17"/>
    <mergeCell ref="A19:A22"/>
    <mergeCell ref="B19:F19"/>
    <mergeCell ref="B20:F20"/>
    <mergeCell ref="B21:F21"/>
    <mergeCell ref="B22:F22"/>
    <mergeCell ref="A4:A7"/>
    <mergeCell ref="B4:F4"/>
    <mergeCell ref="B5:F5"/>
    <mergeCell ref="B6:F6"/>
    <mergeCell ref="B7:F7"/>
    <mergeCell ref="A9:A12"/>
    <mergeCell ref="B9:F9"/>
    <mergeCell ref="B10:F10"/>
    <mergeCell ref="B11:F11"/>
    <mergeCell ref="B12:F12"/>
  </mergeCells>
  <conditionalFormatting sqref="N4:N7 N9:N12 N14:N17 N19:N22 N24:N27 N29:N32 N34:N37 N39:N42 N44:N47 N49:N52 N54:N57 N59:N62 N64:N67 N69:N72 N74:N77 N79:N82 N84:N87 N89:N92 N94:N97 N99:N102 N104:N107 N109:N112 N114:N117 N119:N122 N124:N127 N129:N132 N134:N137 N139:N142 N144:N147 N149:N152 N154">
    <cfRule type="expression" dxfId="118" priority="4">
      <formula>$L4=$N4</formula>
    </cfRule>
    <cfRule type="expression" dxfId="117" priority="5">
      <formula>$L4&gt;$N4</formula>
    </cfRule>
    <cfRule type="expression" dxfId="116" priority="6">
      <formula>$L4&lt;$N4</formula>
    </cfRule>
  </conditionalFormatting>
  <conditionalFormatting sqref="T4:T7 T9:T12 T14:T17 T19:T22 T24:T27 T29:T32 T34:T37 T39:T42 T44:T47 T49:T52 T54:T57 T59:T62 T64:T67 T69:T72 T74:T77 T79:T82 T84:T87 T89:T92 T94:T97 T99:T102 T104:T107 T109:T112 T114:T117 T119:T122 T124:T127 T129:T132 T134:T137 T139:T142 T144:T147 T149:T152 T154">
    <cfRule type="expression" dxfId="115" priority="1">
      <formula>$R4=$T4</formula>
    </cfRule>
    <cfRule type="expression" dxfId="114" priority="2">
      <formula>$R4&gt;$T4</formula>
    </cfRule>
    <cfRule type="expression" dxfId="113" priority="3">
      <formula>$R4&lt;$T4</formula>
    </cfRule>
  </conditionalFormatting>
  <pageMargins left="0.7" right="0.7" top="0.75" bottom="0.75" header="0.3" footer="0.3"/>
  <pageSetup paperSize="9" scale="45" fitToWidth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>
      <selection activeCell="E2" sqref="E2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1DA7130E87DC499326C8DA5CC15963" ma:contentTypeVersion="16" ma:contentTypeDescription="Create a new document." ma:contentTypeScope="" ma:versionID="edf131c7b617c0cb4dec770ce839c569">
  <xsd:schema xmlns:xsd="http://www.w3.org/2001/XMLSchema" xmlns:xs="http://www.w3.org/2001/XMLSchema" xmlns:p="http://schemas.microsoft.com/office/2006/metadata/properties" xmlns:ns3="ae158657-5dc0-437b-a2ab-aabc65871eb0" xmlns:ns4="0bdbeb87-faa9-47a7-b46a-5414e9f96e39" targetNamespace="http://schemas.microsoft.com/office/2006/metadata/properties" ma:root="true" ma:fieldsID="c8b599e2a311254d2ee47771b7890784" ns3:_="" ns4:_="">
    <xsd:import namespace="ae158657-5dc0-437b-a2ab-aabc65871eb0"/>
    <xsd:import namespace="0bdbeb87-faa9-47a7-b46a-5414e9f96e39"/>
    <xsd:element name="properties">
      <xsd:complexType>
        <xsd:sequence>
          <xsd:element name="documentManagement">
            <xsd:complexType>
              <xsd:all>
                <xsd:element ref="ns3:MigrationWizId" minOccurs="0"/>
                <xsd:element ref="ns3:MigrationWizIdPermissions" minOccurs="0"/>
                <xsd:element ref="ns3:MigrationWizIdPermissionLevels" minOccurs="0"/>
                <xsd:element ref="ns3:MigrationWizIdDocumentLibraryPermissions" minOccurs="0"/>
                <xsd:element ref="ns3:MigrationWizIdSecurityGroup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158657-5dc0-437b-a2ab-aabc65871eb0" elementFormDefault="qualified">
    <xsd:import namespace="http://schemas.microsoft.com/office/2006/documentManagement/types"/>
    <xsd:import namespace="http://schemas.microsoft.com/office/infopath/2007/PartnerControls"/>
    <xsd:element name="MigrationWizId" ma:index="8" nillable="true" ma:displayName="MigrationWizId" ma:internalName="MigrationWizId">
      <xsd:simpleType>
        <xsd:restriction base="dms:Text"/>
      </xsd:simpleType>
    </xsd:element>
    <xsd:element name="MigrationWizIdPermissions" ma:index="9" nillable="true" ma:displayName="MigrationWizIdPermissions" ma:internalName="MigrationWizIdPermissions">
      <xsd:simpleType>
        <xsd:restriction base="dms:Text"/>
      </xsd:simpleType>
    </xsd:element>
    <xsd:element name="MigrationWizIdPermissionLevels" ma:index="10" nillable="true" ma:displayName="MigrationWizIdPermissionLevels" ma:internalName="MigrationWizIdPermissionLevels">
      <xsd:simpleType>
        <xsd:restriction base="dms:Text"/>
      </xsd:simpleType>
    </xsd:element>
    <xsd:element name="MigrationWizIdDocumentLibraryPermissions" ma:index="11" nillable="true" ma:displayName="MigrationWizIdDocumentLibraryPermissions" ma:internalName="MigrationWizIdDocumentLibraryPermissions">
      <xsd:simpleType>
        <xsd:restriction base="dms:Text"/>
      </xsd:simpleType>
    </xsd:element>
    <xsd:element name="MigrationWizIdSecurityGroups" ma:index="12" nillable="true" ma:displayName="MigrationWizIdSecurityGroups" ma:internalName="MigrationWizIdSecurityGroups">
      <xsd:simpleType>
        <xsd:restriction base="dms:Text"/>
      </xsd:simpleType>
    </xsd:element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dbeb87-faa9-47a7-b46a-5414e9f96e3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grationWizIdDocumentLibraryPermissions xmlns="ae158657-5dc0-437b-a2ab-aabc65871eb0" xsi:nil="true"/>
    <MigrationWizIdSecurityGroups xmlns="ae158657-5dc0-437b-a2ab-aabc65871eb0" xsi:nil="true"/>
    <MigrationWizIdPermissionLevels xmlns="ae158657-5dc0-437b-a2ab-aabc65871eb0" xsi:nil="true"/>
    <MigrationWizIdPermissions xmlns="ae158657-5dc0-437b-a2ab-aabc65871eb0" xsi:nil="true"/>
    <MigrationWizId xmlns="ae158657-5dc0-437b-a2ab-aabc65871eb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A135FB6-72A0-42EB-AA03-ADF59ACF41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158657-5dc0-437b-a2ab-aabc65871eb0"/>
    <ds:schemaRef ds:uri="0bdbeb87-faa9-47a7-b46a-5414e9f96e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61E2285-7807-4C90-A409-5E8065E64810}">
  <ds:schemaRefs>
    <ds:schemaRef ds:uri="http://purl.org/dc/terms/"/>
    <ds:schemaRef ds:uri="http://schemas.openxmlformats.org/package/2006/metadata/core-properties"/>
    <ds:schemaRef ds:uri="ae158657-5dc0-437b-a2ab-aabc65871eb0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0bdbeb87-faa9-47a7-b46a-5414e9f96e39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40E99A3-4248-4B18-8EEE-1F159E011C9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</vt:i4>
      </vt:variant>
    </vt:vector>
  </HeadingPairs>
  <TitlesOfParts>
    <vt:vector size="20" baseType="lpstr">
      <vt:lpstr>March 20</vt:lpstr>
      <vt:lpstr>April 20</vt:lpstr>
      <vt:lpstr>May 20</vt:lpstr>
      <vt:lpstr>June 20</vt:lpstr>
      <vt:lpstr>July 20</vt:lpstr>
      <vt:lpstr>Aug 20</vt:lpstr>
      <vt:lpstr>Cleaning</vt:lpstr>
      <vt:lpstr>PI  Template </vt:lpstr>
      <vt:lpstr>Sheet3</vt:lpstr>
      <vt:lpstr>Sheet2</vt:lpstr>
      <vt:lpstr>Removed properties</vt:lpstr>
      <vt:lpstr>PI template</vt:lpstr>
      <vt:lpstr>Database v1</vt:lpstr>
      <vt:lpstr>Team list</vt:lpstr>
      <vt:lpstr>Sheet1</vt:lpstr>
      <vt:lpstr>PI template (old)</vt:lpstr>
      <vt:lpstr>Cleaning PW</vt:lpstr>
      <vt:lpstr>Landscaping PW</vt:lpstr>
      <vt:lpstr>bolney</vt:lpstr>
      <vt:lpstr>Cleaning!Print_Area</vt:lpstr>
    </vt:vector>
  </TitlesOfParts>
  <Company>Nottinghill Housing Trust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correct one</dc:title>
  <dc:creator>Nick Vergara;Erik Nolander</dc:creator>
  <cp:lastModifiedBy>Erik Nolander</cp:lastModifiedBy>
  <cp:revision/>
  <cp:lastPrinted>2020-03-06T09:58:14Z</cp:lastPrinted>
  <dcterms:created xsi:type="dcterms:W3CDTF">2013-05-08T11:05:31Z</dcterms:created>
  <dcterms:modified xsi:type="dcterms:W3CDTF">2020-11-04T12:35:02Z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0x010100031DA7130E87DC499326C8DA5CC15963</vt:lpwstr>
  </property>
</Properties>
</file>