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04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247" documentId="8_{05C5C6B0-8BAA-4E61-BD31-34C6D8092A08}" xr6:coauthVersionLast="45" xr6:coauthVersionMax="45" xr10:uidLastSave="{20942F75-EB97-4480-AC2F-71A96AF3FCD6}"/>
  <bookViews>
    <workbookView xWindow="-60" yWindow="-60" windowWidth="28920" windowHeight="15870" activeTab="1" xr2:uid="{00000000-000D-0000-FFFF-FFFF00000000}"/>
  </bookViews>
  <sheets>
    <sheet name="Godziny" sheetId="2" r:id="rId1"/>
    <sheet name="Program" sheetId="1" r:id="rId2"/>
    <sheet name="H" sheetId="5" r:id="rId3"/>
    <sheet name="Dni" sheetId="3" r:id="rId4"/>
  </sheets>
  <definedNames>
    <definedName name="Rate">H!$F$3:$F$18</definedName>
    <definedName name="ShiftEnd">H!$D$3:$D$18</definedName>
    <definedName name="ShiftStart">H!$C$3:$C$18</definedName>
    <definedName name="TE">Program!$Q$28</definedName>
    <definedName name="TS">Program!$Q$27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4" i="1" l="1" a="1"/>
  <c r="R4" i="1" s="1"/>
  <c r="R5" i="1" a="1"/>
  <c r="R5" i="1" s="1"/>
  <c r="R6" i="1" a="1"/>
  <c r="R6" i="1" s="1"/>
  <c r="R7" i="1" a="1"/>
  <c r="R7" i="1"/>
  <c r="R8" i="1" a="1"/>
  <c r="R8" i="1" s="1"/>
  <c r="R9" i="1" a="1"/>
  <c r="R9" i="1" s="1"/>
  <c r="R10" i="1" a="1"/>
  <c r="R10" i="1" s="1"/>
  <c r="R11" i="1" a="1"/>
  <c r="R11" i="1"/>
  <c r="R12" i="1" a="1"/>
  <c r="R12" i="1" s="1"/>
  <c r="R13" i="1" a="1"/>
  <c r="R13" i="1" s="1"/>
  <c r="R14" i="1" a="1"/>
  <c r="R14" i="1" s="1"/>
  <c r="R15" i="1" a="1"/>
  <c r="R15" i="1"/>
  <c r="R16" i="1" a="1"/>
  <c r="R16" i="1" s="1"/>
  <c r="R17" i="1" a="1"/>
  <c r="R17" i="1" s="1"/>
  <c r="R18" i="1" a="1"/>
  <c r="R18" i="1" s="1"/>
  <c r="R19" i="1" a="1"/>
  <c r="R19" i="1"/>
  <c r="R20" i="1" a="1"/>
  <c r="R20" i="1" s="1"/>
  <c r="R21" i="1" a="1"/>
  <c r="R21" i="1" s="1"/>
  <c r="R22" i="1" a="1"/>
  <c r="R22" i="1" s="1"/>
  <c r="R23" i="1" a="1"/>
  <c r="R23" i="1" s="1"/>
  <c r="R3" i="1" a="1"/>
  <c r="R3" i="1" s="1"/>
  <c r="AB28" i="1"/>
  <c r="X29" i="1"/>
  <c r="AB29" i="1"/>
  <c r="AB30" i="1"/>
  <c r="AB31" i="1"/>
  <c r="AB32" i="1"/>
  <c r="AB33" i="1"/>
  <c r="AB34" i="1"/>
  <c r="W37" i="1"/>
  <c r="W30" i="1"/>
  <c r="X32" i="1"/>
  <c r="S4" i="1"/>
  <c r="T4" i="1"/>
  <c r="S5" i="1"/>
  <c r="T5" i="1"/>
  <c r="S6" i="1"/>
  <c r="T6" i="1"/>
  <c r="S7" i="1"/>
  <c r="T7" i="1"/>
  <c r="S8" i="1"/>
  <c r="T8" i="1"/>
  <c r="S9" i="1"/>
  <c r="T9" i="1"/>
  <c r="S10" i="1"/>
  <c r="T10" i="1"/>
  <c r="S11" i="1"/>
  <c r="T11" i="1"/>
  <c r="S12" i="1"/>
  <c r="T12" i="1"/>
  <c r="S13" i="1"/>
  <c r="T13" i="1"/>
  <c r="S14" i="1"/>
  <c r="T14" i="1"/>
  <c r="S15" i="1"/>
  <c r="T15" i="1"/>
  <c r="S16" i="1"/>
  <c r="T16" i="1"/>
  <c r="S17" i="1"/>
  <c r="T17" i="1"/>
  <c r="S18" i="1"/>
  <c r="T18" i="1"/>
  <c r="S19" i="1"/>
  <c r="T19" i="1"/>
  <c r="S20" i="1"/>
  <c r="T20" i="1"/>
  <c r="S21" i="1"/>
  <c r="T21" i="1"/>
  <c r="S22" i="1"/>
  <c r="T22" i="1"/>
  <c r="S23" i="1"/>
  <c r="T23" i="1"/>
  <c r="T3" i="1"/>
  <c r="S3" i="1"/>
  <c r="D3" i="5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2" i="2"/>
  <c r="G23" i="1"/>
  <c r="H23" i="1" s="1"/>
  <c r="C23" i="1"/>
  <c r="D23" i="1" s="1"/>
  <c r="G22" i="1"/>
  <c r="H22" i="1" s="1"/>
  <c r="C22" i="1"/>
  <c r="D22" i="1" s="1"/>
  <c r="C4" i="5" l="1"/>
  <c r="X41" i="1"/>
  <c r="X37" i="1"/>
  <c r="W34" i="1"/>
  <c r="W32" i="1"/>
  <c r="W41" i="1"/>
  <c r="X40" i="1"/>
  <c r="X36" i="1"/>
  <c r="W29" i="1"/>
  <c r="X42" i="1"/>
  <c r="W40" i="1"/>
  <c r="W36" i="1"/>
  <c r="X33" i="1"/>
  <c r="X31" i="1"/>
  <c r="W42" i="1"/>
  <c r="X39" i="1"/>
  <c r="X35" i="1"/>
  <c r="W33" i="1"/>
  <c r="W31" i="1"/>
  <c r="W27" i="1"/>
  <c r="W39" i="1"/>
  <c r="W35" i="1"/>
  <c r="X28" i="1"/>
  <c r="X38" i="1"/>
  <c r="X30" i="1"/>
  <c r="W28" i="1"/>
  <c r="W38" i="1"/>
  <c r="X34" i="1"/>
  <c r="D4" i="5"/>
  <c r="C5" i="5" s="1"/>
  <c r="J21" i="1"/>
  <c r="G21" i="1"/>
  <c r="H21" i="1" s="1"/>
  <c r="C21" i="1"/>
  <c r="D21" i="1" s="1"/>
  <c r="H3" i="5"/>
  <c r="G3" i="5"/>
  <c r="G4" i="5" l="1"/>
  <c r="J20" i="1"/>
  <c r="G20" i="1"/>
  <c r="H20" i="1" s="1"/>
  <c r="C20" i="1"/>
  <c r="D20" i="1" s="1"/>
  <c r="C8" i="1"/>
  <c r="D8" i="1" s="1"/>
  <c r="G8" i="1"/>
  <c r="A8" i="5" s="1"/>
  <c r="J8" i="1"/>
  <c r="C9" i="1"/>
  <c r="D9" i="1"/>
  <c r="G9" i="1"/>
  <c r="H9" i="1" s="1"/>
  <c r="J9" i="1"/>
  <c r="C10" i="1"/>
  <c r="D10" i="1" s="1"/>
  <c r="G10" i="1"/>
  <c r="H10" i="1" s="1"/>
  <c r="J10" i="1"/>
  <c r="C11" i="1"/>
  <c r="D11" i="1" s="1"/>
  <c r="G11" i="1"/>
  <c r="H11" i="1" s="1"/>
  <c r="J11" i="1"/>
  <c r="C12" i="1"/>
  <c r="D12" i="1" s="1"/>
  <c r="G12" i="1"/>
  <c r="A12" i="5" s="1"/>
  <c r="J12" i="1"/>
  <c r="C13" i="1"/>
  <c r="A13" i="5" s="1"/>
  <c r="D13" i="1"/>
  <c r="G13" i="1"/>
  <c r="H13" i="1" s="1"/>
  <c r="J13" i="1"/>
  <c r="C14" i="1"/>
  <c r="D14" i="1" s="1"/>
  <c r="G14" i="1"/>
  <c r="H14" i="1"/>
  <c r="J14" i="1"/>
  <c r="C15" i="1"/>
  <c r="D15" i="1" s="1"/>
  <c r="G15" i="1"/>
  <c r="H15" i="1" s="1"/>
  <c r="J15" i="1"/>
  <c r="C16" i="1"/>
  <c r="D16" i="1" s="1"/>
  <c r="G16" i="1"/>
  <c r="H16" i="1"/>
  <c r="J16" i="1"/>
  <c r="C17" i="1"/>
  <c r="A17" i="5" s="1"/>
  <c r="G17" i="1"/>
  <c r="H17" i="1" s="1"/>
  <c r="J17" i="1"/>
  <c r="C18" i="1"/>
  <c r="D18" i="1" s="1"/>
  <c r="G18" i="1"/>
  <c r="H18" i="1" s="1"/>
  <c r="J18" i="1"/>
  <c r="C19" i="1"/>
  <c r="D19" i="1" s="1"/>
  <c r="G19" i="1"/>
  <c r="H19" i="1" s="1"/>
  <c r="J19" i="1"/>
  <c r="A21" i="5"/>
  <c r="A25" i="5"/>
  <c r="A26" i="5"/>
  <c r="A29" i="5"/>
  <c r="A30" i="5"/>
  <c r="A33" i="5"/>
  <c r="A10" i="5"/>
  <c r="N10" i="1" s="1"/>
  <c r="A11" i="5"/>
  <c r="A14" i="5"/>
  <c r="N14" i="1" s="1"/>
  <c r="A18" i="5"/>
  <c r="N18" i="1" s="1"/>
  <c r="A22" i="5"/>
  <c r="A24" i="5"/>
  <c r="A27" i="5"/>
  <c r="A28" i="5"/>
  <c r="A31" i="5"/>
  <c r="A32" i="5"/>
  <c r="Z22" i="1"/>
  <c r="J7" i="1"/>
  <c r="J3" i="1"/>
  <c r="J4" i="1"/>
  <c r="J5" i="1"/>
  <c r="J6" i="1"/>
  <c r="G7" i="1"/>
  <c r="A7" i="5" s="1"/>
  <c r="N7" i="1" s="1"/>
  <c r="C7" i="1"/>
  <c r="D7" i="1" s="1"/>
  <c r="A23" i="5"/>
  <c r="C3" i="1"/>
  <c r="G4" i="1"/>
  <c r="A4" i="5" s="1"/>
  <c r="M4" i="1" s="1"/>
  <c r="G5" i="1"/>
  <c r="H5" i="1" s="1"/>
  <c r="G6" i="1"/>
  <c r="H6" i="1" s="1"/>
  <c r="G3" i="1"/>
  <c r="H3" i="1" s="1"/>
  <c r="C4" i="1"/>
  <c r="D4" i="1" s="1"/>
  <c r="C5" i="1"/>
  <c r="D5" i="1" s="1"/>
  <c r="C6" i="1"/>
  <c r="D6" i="1" s="1"/>
  <c r="H7" i="1" l="1"/>
  <c r="H8" i="1"/>
  <c r="V13" i="1"/>
  <c r="A16" i="5"/>
  <c r="A15" i="5"/>
  <c r="A9" i="5"/>
  <c r="N9" i="1" s="1"/>
  <c r="H4" i="1"/>
  <c r="A6" i="5"/>
  <c r="M6" i="1" s="1"/>
  <c r="A19" i="5"/>
  <c r="L19" i="1" s="1"/>
  <c r="A5" i="5"/>
  <c r="N5" i="1" s="1"/>
  <c r="D17" i="1"/>
  <c r="D5" i="5"/>
  <c r="H4" i="5"/>
  <c r="G5" i="5"/>
  <c r="H12" i="1"/>
  <c r="K5" i="1"/>
  <c r="L4" i="1"/>
  <c r="N4" i="1"/>
  <c r="K7" i="1"/>
  <c r="M7" i="1"/>
  <c r="M18" i="1"/>
  <c r="K4" i="1"/>
  <c r="M14" i="1"/>
  <c r="L7" i="1"/>
  <c r="M10" i="1"/>
  <c r="N21" i="1"/>
  <c r="M21" i="1"/>
  <c r="L21" i="1"/>
  <c r="K21" i="1"/>
  <c r="A20" i="5"/>
  <c r="N16" i="1"/>
  <c r="M16" i="1"/>
  <c r="K16" i="1"/>
  <c r="L16" i="1"/>
  <c r="N12" i="1"/>
  <c r="L12" i="1"/>
  <c r="M12" i="1"/>
  <c r="K12" i="1"/>
  <c r="L13" i="1"/>
  <c r="N13" i="1"/>
  <c r="K13" i="1"/>
  <c r="M13" i="1"/>
  <c r="N8" i="1"/>
  <c r="K8" i="1"/>
  <c r="L8" i="1"/>
  <c r="M8" i="1"/>
  <c r="L15" i="1"/>
  <c r="N15" i="1"/>
  <c r="K15" i="1"/>
  <c r="M15" i="1"/>
  <c r="L17" i="1"/>
  <c r="N17" i="1"/>
  <c r="K17" i="1"/>
  <c r="M17" i="1"/>
  <c r="K19" i="1"/>
  <c r="M19" i="1"/>
  <c r="N19" i="1"/>
  <c r="L11" i="1"/>
  <c r="N11" i="1"/>
  <c r="K11" i="1"/>
  <c r="M11" i="1"/>
  <c r="L9" i="1"/>
  <c r="K9" i="1"/>
  <c r="M9" i="1"/>
  <c r="K18" i="1"/>
  <c r="K14" i="1"/>
  <c r="K10" i="1"/>
  <c r="L18" i="1"/>
  <c r="L14" i="1"/>
  <c r="L10" i="1"/>
  <c r="A3" i="5"/>
  <c r="D3" i="1"/>
  <c r="C6" i="5" l="1"/>
  <c r="K6" i="1"/>
  <c r="N6" i="1"/>
  <c r="L5" i="1"/>
  <c r="L6" i="1"/>
  <c r="M5" i="1"/>
  <c r="O5" i="1" s="1"/>
  <c r="H5" i="5"/>
  <c r="O12" i="1"/>
  <c r="O16" i="1"/>
  <c r="O10" i="1"/>
  <c r="K20" i="1"/>
  <c r="L20" i="1"/>
  <c r="M20" i="1"/>
  <c r="N20" i="1"/>
  <c r="O8" i="1"/>
  <c r="O21" i="1"/>
  <c r="O18" i="1"/>
  <c r="O13" i="1"/>
  <c r="O9" i="1"/>
  <c r="O11" i="1"/>
  <c r="O17" i="1"/>
  <c r="O14" i="1"/>
  <c r="O19" i="1"/>
  <c r="O15" i="1"/>
  <c r="L3" i="1"/>
  <c r="N3" i="1"/>
  <c r="M3" i="1"/>
  <c r="K3" i="1"/>
  <c r="O4" i="1"/>
  <c r="O7" i="1"/>
  <c r="O6" i="1" l="1"/>
  <c r="D6" i="5"/>
  <c r="G6" i="5"/>
  <c r="O20" i="1"/>
  <c r="O3" i="1"/>
  <c r="C7" i="5" l="1"/>
  <c r="H6" i="5"/>
  <c r="D7" i="5" l="1"/>
  <c r="C8" i="5" l="1"/>
  <c r="G7" i="5"/>
  <c r="H7" i="5"/>
  <c r="D8" i="5" l="1"/>
  <c r="C9" i="5" l="1"/>
  <c r="G8" i="5"/>
  <c r="H8" i="5"/>
  <c r="D9" i="5" l="1"/>
  <c r="C10" i="5" l="1"/>
  <c r="G9" i="5"/>
  <c r="H9" i="5"/>
  <c r="D10" i="5" l="1"/>
  <c r="C11" i="5" l="1"/>
  <c r="G10" i="5"/>
  <c r="H10" i="5"/>
  <c r="D11" i="5" l="1"/>
  <c r="C12" i="5" l="1"/>
  <c r="G11" i="5"/>
  <c r="H11" i="5"/>
  <c r="D12" i="5" l="1"/>
  <c r="C13" i="5" l="1"/>
  <c r="G12" i="5"/>
  <c r="H12" i="5"/>
  <c r="D13" i="5" l="1"/>
  <c r="C14" i="5" l="1"/>
  <c r="G13" i="5"/>
  <c r="H13" i="5"/>
  <c r="D14" i="5" l="1"/>
  <c r="G14" i="5"/>
  <c r="C15" i="5" l="1"/>
  <c r="H14" i="5"/>
  <c r="D15" i="5" l="1"/>
  <c r="C16" i="5" l="1"/>
  <c r="G15" i="5"/>
  <c r="H15" i="5"/>
  <c r="D16" i="5" l="1"/>
  <c r="C17" i="5" l="1"/>
  <c r="G16" i="5"/>
  <c r="H16" i="5"/>
  <c r="D17" i="5" l="1"/>
  <c r="C18" i="5" l="1"/>
  <c r="G17" i="5"/>
  <c r="H17" i="5"/>
  <c r="D18" i="5" l="1"/>
  <c r="G18" i="5" l="1"/>
  <c r="P23" i="1" a="1"/>
  <c r="P23" i="1" s="1"/>
  <c r="P21" i="1" a="1"/>
  <c r="P21" i="1" s="1"/>
  <c r="H18" i="5"/>
  <c r="P22" i="1" a="1"/>
  <c r="P22" i="1" s="1"/>
  <c r="Z19" i="1" l="1"/>
  <c r="Z21" i="1" l="1"/>
  <c r="Z20" i="1"/>
  <c r="P12" i="1" s="1"/>
  <c r="P16" i="1" l="1"/>
  <c r="P6" i="1"/>
  <c r="P7" i="1"/>
  <c r="P17" i="1"/>
  <c r="P15" i="1"/>
  <c r="P10" i="1"/>
  <c r="P4" i="1"/>
  <c r="P3" i="1"/>
  <c r="P8" i="1"/>
  <c r="P11" i="1"/>
  <c r="P19" i="1"/>
  <c r="P9" i="1"/>
  <c r="P14" i="1"/>
  <c r="P5" i="1"/>
  <c r="P18" i="1"/>
  <c r="P1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<sst xmlns="http://schemas.openxmlformats.org/spreadsheetml/2006/main" count="88" uniqueCount="47">
  <si>
    <t>H</t>
  </si>
  <si>
    <t>Emp1</t>
  </si>
  <si>
    <t>Emp2</t>
  </si>
  <si>
    <t>Emp3</t>
  </si>
  <si>
    <t>Emp4</t>
  </si>
  <si>
    <t>Rate</t>
  </si>
  <si>
    <t>Total</t>
  </si>
  <si>
    <t>Godzina</t>
  </si>
  <si>
    <t>Data</t>
  </si>
  <si>
    <t>Dzień</t>
  </si>
  <si>
    <t>Tuesday</t>
  </si>
  <si>
    <t>Wednesday</t>
  </si>
  <si>
    <t>Thursday</t>
  </si>
  <si>
    <t>Friday</t>
  </si>
  <si>
    <t>Saturday</t>
  </si>
  <si>
    <t>Sunday</t>
  </si>
  <si>
    <t>Monday</t>
  </si>
  <si>
    <t>Anställd</t>
  </si>
  <si>
    <t>Veckodag</t>
  </si>
  <si>
    <t>Starttid</t>
  </si>
  <si>
    <t>Start datum</t>
  </si>
  <si>
    <t>Slutdatum</t>
  </si>
  <si>
    <t>Sluttid</t>
  </si>
  <si>
    <t>Arbetstid</t>
  </si>
  <si>
    <t>Total ersättning</t>
  </si>
  <si>
    <t>Skift</t>
  </si>
  <si>
    <t>D</t>
  </si>
  <si>
    <t>K</t>
  </si>
  <si>
    <t>N</t>
  </si>
  <si>
    <t>Emp5</t>
  </si>
  <si>
    <t>Emp6</t>
  </si>
  <si>
    <t>Emp7</t>
  </si>
  <si>
    <t>Emp8</t>
  </si>
  <si>
    <t>Emp9</t>
  </si>
  <si>
    <t>Emp10</t>
  </si>
  <si>
    <t>Emp11</t>
  </si>
  <si>
    <t>Emp12</t>
  </si>
  <si>
    <t>Emp13</t>
  </si>
  <si>
    <t>Emp14</t>
  </si>
  <si>
    <t>Emp15</t>
  </si>
  <si>
    <t>Emp16</t>
  </si>
  <si>
    <t>Emp17</t>
  </si>
  <si>
    <t>Shift Start</t>
  </si>
  <si>
    <t>Shift End</t>
  </si>
  <si>
    <t>Shift Code</t>
  </si>
  <si>
    <t>Day Start</t>
  </si>
  <si>
    <t>Day 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</si>
</sst>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h:mm;@"/>
    <numFmt numFmtId="165" formatCode="_ * #,##0.00_)\ _z_ł_ ;_ * \(#,##0.00\)\ _z_ł_ ;_ * &quot;-&quot;??_)\ _z_ł_ ;_ @_ "/>
    <numFmt numFmtId="166" formatCode="dddd"/>
    <numFmt numFmtId="167" formatCode="ddd"/>
    <numFmt numFmtId="168" formatCode="ddd\ hh:mm"/>
  </numFmts>
  <fonts count="15" x14ac:knownFonts="1">
    <font>
      <sz val="12"/>
      <color theme="1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sz val="12"/>
      <color theme="4" tint="0.39997558519241921"/>
      <name val="Calibri"/>
      <family val="2"/>
      <charset val="238"/>
      <scheme val="minor"/>
    </font>
    <font>
      <sz val="12"/>
      <color theme="7" tint="0.39997558519241921"/>
      <name val="Calibri"/>
      <family val="2"/>
      <charset val="238"/>
      <scheme val="minor"/>
    </font>
    <font>
      <sz val="12"/>
      <color theme="5" tint="0.3999755851924192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color theme="7" tint="0.39997558519241921"/>
      <name val="Calibri"/>
      <family val="2"/>
      <charset val="238"/>
      <scheme val="minor"/>
    </font>
    <font>
      <sz val="10"/>
      <color theme="5" tint="0.39997558519241921"/>
      <name val="Calibri"/>
      <family val="2"/>
      <charset val="238"/>
      <scheme val="minor"/>
    </font>
    <font>
      <sz val="10"/>
      <color theme="4" tint="0.3999755851924192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2"/>
      <color theme="0" tint="-0.34998626667073579"/>
      <name val="Calibri"/>
      <family val="2"/>
      <charset val="238"/>
      <scheme val="minor"/>
    </font>
    <font>
      <sz val="12"/>
      <color rgb="FF0070C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36">
    <xf numFmtId="0" fontId="0" fillId="0" borderId="0" xfId="0"/>
    <xf numFmtId="164" fontId="0" fillId="0" borderId="0" xfId="0" applyNumberFormat="1"/>
    <xf numFmtId="20" fontId="0" fillId="0" borderId="0" xfId="0" applyNumberFormat="1"/>
    <xf numFmtId="0" fontId="0" fillId="0" borderId="0" xfId="0" applyAlignment="1">
      <alignment horizontal="right"/>
    </xf>
    <xf numFmtId="0" fontId="0" fillId="0" borderId="0" xfId="0" applyFill="1"/>
    <xf numFmtId="0" fontId="2" fillId="0" borderId="0" xfId="0" applyFont="1"/>
    <xf numFmtId="0" fontId="1" fillId="0" borderId="0" xfId="0" applyFont="1"/>
    <xf numFmtId="0" fontId="3" fillId="0" borderId="0" xfId="0" applyFont="1" applyFill="1"/>
    <xf numFmtId="0" fontId="4" fillId="0" borderId="0" xfId="0" applyFont="1" applyFill="1"/>
    <xf numFmtId="165" fontId="0" fillId="0" borderId="0" xfId="0" applyNumberFormat="1"/>
    <xf numFmtId="2" fontId="0" fillId="0" borderId="0" xfId="0" applyNumberFormat="1"/>
    <xf numFmtId="2" fontId="0" fillId="0" borderId="0" xfId="0" applyNumberFormat="1" applyFont="1" applyFill="1"/>
    <xf numFmtId="14" fontId="0" fillId="0" borderId="0" xfId="0" applyNumberFormat="1"/>
    <xf numFmtId="14" fontId="0" fillId="2" borderId="0" xfId="0" applyNumberFormat="1" applyFill="1"/>
    <xf numFmtId="14" fontId="0" fillId="3" borderId="0" xfId="0" applyNumberFormat="1" applyFill="1"/>
    <xf numFmtId="164" fontId="6" fillId="0" borderId="0" xfId="0" applyNumberFormat="1" applyFont="1" applyAlignment="1">
      <alignment horizontal="center"/>
    </xf>
    <xf numFmtId="20" fontId="0" fillId="0" borderId="0" xfId="0" applyNumberFormat="1" applyAlignment="1">
      <alignment horizontal="right"/>
    </xf>
    <xf numFmtId="0" fontId="0" fillId="0" borderId="0" xfId="0" applyAlignment="1">
      <alignment horizontal="centerContinuous"/>
    </xf>
    <xf numFmtId="0" fontId="0" fillId="0" borderId="0" xfId="0" applyAlignment="1">
      <alignment horizontal="center"/>
    </xf>
    <xf numFmtId="0" fontId="0" fillId="0" borderId="0" xfId="0" applyNumberFormat="1"/>
    <xf numFmtId="0" fontId="0" fillId="0" borderId="0" xfId="0" applyNumberFormat="1" applyAlignment="1">
      <alignment horizontal="right"/>
    </xf>
    <xf numFmtId="0" fontId="0" fillId="0" borderId="0" xfId="0" quotePrefix="1" applyFill="1"/>
    <xf numFmtId="0" fontId="7" fillId="0" borderId="0" xfId="0" applyFont="1"/>
    <xf numFmtId="166" fontId="7" fillId="0" borderId="0" xfId="0" applyNumberFormat="1" applyFont="1"/>
    <xf numFmtId="0" fontId="12" fillId="0" borderId="0" xfId="0" applyFont="1" applyAlignment="1">
      <alignment horizontal="center"/>
    </xf>
    <xf numFmtId="22" fontId="7" fillId="0" borderId="1" xfId="0" applyNumberFormat="1" applyFont="1" applyBorder="1"/>
    <xf numFmtId="0" fontId="8" fillId="0" borderId="1" xfId="0" applyFont="1" applyBorder="1"/>
    <xf numFmtId="165" fontId="7" fillId="0" borderId="1" xfId="0" applyNumberFormat="1" applyFont="1" applyBorder="1"/>
    <xf numFmtId="0" fontId="9" fillId="0" borderId="1" xfId="0" applyFont="1" applyBorder="1"/>
    <xf numFmtId="0" fontId="10" fillId="0" borderId="1" xfId="0" applyFont="1" applyBorder="1"/>
    <xf numFmtId="0" fontId="11" fillId="0" borderId="1" xfId="0" applyFont="1" applyBorder="1"/>
    <xf numFmtId="167" fontId="0" fillId="0" borderId="0" xfId="0" applyNumberFormat="1"/>
    <xf numFmtId="22" fontId="0" fillId="0" borderId="0" xfId="0" applyNumberFormat="1"/>
    <xf numFmtId="168" fontId="0" fillId="0" borderId="0" xfId="0" applyNumberFormat="1"/>
    <xf numFmtId="168" fontId="13" fillId="4" borderId="2" xfId="0" applyNumberFormat="1" applyFont="1" applyFill="1" applyBorder="1"/>
    <xf numFmtId="165" fontId="1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9"/>
  <sheetViews>
    <sheetView workbookViewId="0">
      <selection activeCell="C13" sqref="C13"/>
    </sheetView>
  </sheetViews>
  <sheetFormatPr defaultColWidth="8.875" defaultRowHeight="15.75" x14ac:dyDescent="0.25"/>
  <cols>
    <col min="3" max="3" width="15.25" bestFit="1" customWidth="1"/>
  </cols>
  <sheetData>
    <row r="1" spans="1:3" x14ac:dyDescent="0.25">
      <c r="A1" t="s">
        <v>7</v>
      </c>
    </row>
    <row r="2" spans="1:3" x14ac:dyDescent="0.25">
      <c r="A2" s="2">
        <v>0</v>
      </c>
      <c r="C2" s="32">
        <f>A2</f>
        <v>0</v>
      </c>
    </row>
    <row r="3" spans="1:3" x14ac:dyDescent="0.25">
      <c r="A3" s="2">
        <v>2.0833333333333332E-2</v>
      </c>
      <c r="C3" s="32">
        <f t="shared" ref="C3:C49" si="0">A3</f>
        <v>2.0833333333333332E-2</v>
      </c>
    </row>
    <row r="4" spans="1:3" x14ac:dyDescent="0.25">
      <c r="A4" s="2">
        <v>4.1666666666666664E-2</v>
      </c>
      <c r="C4" s="32">
        <f t="shared" si="0"/>
        <v>4.1666666666666664E-2</v>
      </c>
    </row>
    <row r="5" spans="1:3" x14ac:dyDescent="0.25">
      <c r="A5" s="2">
        <v>6.25E-2</v>
      </c>
      <c r="C5" s="32">
        <f t="shared" si="0"/>
        <v>6.25E-2</v>
      </c>
    </row>
    <row r="6" spans="1:3" x14ac:dyDescent="0.25">
      <c r="A6" s="2">
        <v>8.3333333333333301E-2</v>
      </c>
      <c r="C6" s="32">
        <f t="shared" si="0"/>
        <v>8.3333333333333301E-2</v>
      </c>
    </row>
    <row r="7" spans="1:3" x14ac:dyDescent="0.25">
      <c r="A7" s="2">
        <v>0.104166666666667</v>
      </c>
      <c r="C7" s="32">
        <f t="shared" si="0"/>
        <v>0.104166666666667</v>
      </c>
    </row>
    <row r="8" spans="1:3" x14ac:dyDescent="0.25">
      <c r="A8" s="2">
        <v>0.125</v>
      </c>
      <c r="C8" s="32">
        <f t="shared" si="0"/>
        <v>0.125</v>
      </c>
    </row>
    <row r="9" spans="1:3" x14ac:dyDescent="0.25">
      <c r="A9" s="2">
        <v>0.14583333333333301</v>
      </c>
      <c r="C9" s="32">
        <f t="shared" si="0"/>
        <v>0.14583333333333301</v>
      </c>
    </row>
    <row r="10" spans="1:3" x14ac:dyDescent="0.25">
      <c r="A10" s="2">
        <v>0.16666666666666699</v>
      </c>
      <c r="C10" s="32">
        <f t="shared" si="0"/>
        <v>0.16666666666666699</v>
      </c>
    </row>
    <row r="11" spans="1:3" x14ac:dyDescent="0.25">
      <c r="A11" s="2">
        <v>0.1875</v>
      </c>
      <c r="C11" s="32">
        <f t="shared" si="0"/>
        <v>0.1875</v>
      </c>
    </row>
    <row r="12" spans="1:3" x14ac:dyDescent="0.25">
      <c r="A12" s="2">
        <v>0.20833333333333301</v>
      </c>
      <c r="C12" s="32">
        <f t="shared" si="0"/>
        <v>0.20833333333333301</v>
      </c>
    </row>
    <row r="13" spans="1:3" x14ac:dyDescent="0.25">
      <c r="A13" s="2">
        <v>0.22916666666666699</v>
      </c>
      <c r="C13" s="32">
        <f t="shared" si="0"/>
        <v>0.22916666666666699</v>
      </c>
    </row>
    <row r="14" spans="1:3" x14ac:dyDescent="0.25">
      <c r="A14" s="2">
        <v>0.25</v>
      </c>
      <c r="C14" s="32">
        <f t="shared" si="0"/>
        <v>0.25</v>
      </c>
    </row>
    <row r="15" spans="1:3" x14ac:dyDescent="0.25">
      <c r="A15" s="2">
        <v>0.27083333333333298</v>
      </c>
      <c r="C15" s="32">
        <f t="shared" si="0"/>
        <v>0.27083333333333298</v>
      </c>
    </row>
    <row r="16" spans="1:3" x14ac:dyDescent="0.25">
      <c r="A16" s="2">
        <v>0.29166666666666702</v>
      </c>
      <c r="C16" s="32">
        <f t="shared" si="0"/>
        <v>0.29166666666666702</v>
      </c>
    </row>
    <row r="17" spans="1:3" x14ac:dyDescent="0.25">
      <c r="A17" s="2">
        <v>0.3125</v>
      </c>
      <c r="C17" s="32">
        <f t="shared" si="0"/>
        <v>0.3125</v>
      </c>
    </row>
    <row r="18" spans="1:3" x14ac:dyDescent="0.25">
      <c r="A18" s="2">
        <v>0.33333333333333298</v>
      </c>
      <c r="C18" s="32">
        <f t="shared" si="0"/>
        <v>0.33333333333333298</v>
      </c>
    </row>
    <row r="19" spans="1:3" x14ac:dyDescent="0.25">
      <c r="A19" s="2">
        <v>0.35416666666666702</v>
      </c>
      <c r="C19" s="32">
        <f t="shared" si="0"/>
        <v>0.35416666666666702</v>
      </c>
    </row>
    <row r="20" spans="1:3" x14ac:dyDescent="0.25">
      <c r="A20" s="2">
        <v>0.375</v>
      </c>
      <c r="C20" s="32">
        <f t="shared" si="0"/>
        <v>0.375</v>
      </c>
    </row>
    <row r="21" spans="1:3" x14ac:dyDescent="0.25">
      <c r="A21" s="2">
        <v>0.39583333333333298</v>
      </c>
      <c r="C21" s="32">
        <f t="shared" si="0"/>
        <v>0.39583333333333298</v>
      </c>
    </row>
    <row r="22" spans="1:3" x14ac:dyDescent="0.25">
      <c r="A22" s="2">
        <v>0.41666666666666702</v>
      </c>
      <c r="C22" s="32">
        <f t="shared" si="0"/>
        <v>0.41666666666666702</v>
      </c>
    </row>
    <row r="23" spans="1:3" x14ac:dyDescent="0.25">
      <c r="A23" s="2">
        <v>0.4375</v>
      </c>
      <c r="C23" s="32">
        <f t="shared" si="0"/>
        <v>0.4375</v>
      </c>
    </row>
    <row r="24" spans="1:3" x14ac:dyDescent="0.25">
      <c r="A24" s="2">
        <v>0.45833333333333298</v>
      </c>
      <c r="C24" s="32">
        <f t="shared" si="0"/>
        <v>0.45833333333333298</v>
      </c>
    </row>
    <row r="25" spans="1:3" x14ac:dyDescent="0.25">
      <c r="A25" s="2">
        <v>0.47916666666666702</v>
      </c>
      <c r="C25" s="32">
        <f t="shared" si="0"/>
        <v>0.47916666666666702</v>
      </c>
    </row>
    <row r="26" spans="1:3" x14ac:dyDescent="0.25">
      <c r="A26" s="2">
        <v>0.5</v>
      </c>
      <c r="C26" s="32">
        <f t="shared" si="0"/>
        <v>0.5</v>
      </c>
    </row>
    <row r="27" spans="1:3" x14ac:dyDescent="0.25">
      <c r="A27" s="2">
        <v>0.52083333333333304</v>
      </c>
      <c r="C27" s="32">
        <f t="shared" si="0"/>
        <v>0.52083333333333304</v>
      </c>
    </row>
    <row r="28" spans="1:3" x14ac:dyDescent="0.25">
      <c r="A28" s="2">
        <v>0.54166666666666696</v>
      </c>
      <c r="C28" s="32">
        <f t="shared" si="0"/>
        <v>0.54166666666666696</v>
      </c>
    </row>
    <row r="29" spans="1:3" x14ac:dyDescent="0.25">
      <c r="A29" s="2">
        <v>0.5625</v>
      </c>
      <c r="C29" s="32">
        <f t="shared" si="0"/>
        <v>0.5625</v>
      </c>
    </row>
    <row r="30" spans="1:3" x14ac:dyDescent="0.25">
      <c r="A30" s="2">
        <v>0.58333333333333304</v>
      </c>
      <c r="C30" s="32">
        <f t="shared" si="0"/>
        <v>0.58333333333333304</v>
      </c>
    </row>
    <row r="31" spans="1:3" x14ac:dyDescent="0.25">
      <c r="A31" s="2">
        <v>0.60416666666666696</v>
      </c>
      <c r="C31" s="32">
        <f t="shared" si="0"/>
        <v>0.60416666666666696</v>
      </c>
    </row>
    <row r="32" spans="1:3" x14ac:dyDescent="0.25">
      <c r="A32" s="2">
        <v>0.625</v>
      </c>
      <c r="C32" s="32">
        <f t="shared" si="0"/>
        <v>0.625</v>
      </c>
    </row>
    <row r="33" spans="1:3" x14ac:dyDescent="0.25">
      <c r="A33" s="2">
        <v>0.64583333333333304</v>
      </c>
      <c r="C33" s="32">
        <f t="shared" si="0"/>
        <v>0.64583333333333304</v>
      </c>
    </row>
    <row r="34" spans="1:3" x14ac:dyDescent="0.25">
      <c r="A34" s="2">
        <v>0.66666666666666696</v>
      </c>
      <c r="C34" s="32">
        <f t="shared" si="0"/>
        <v>0.66666666666666696</v>
      </c>
    </row>
    <row r="35" spans="1:3" x14ac:dyDescent="0.25">
      <c r="A35" s="2">
        <v>0.6875</v>
      </c>
      <c r="C35" s="32">
        <f t="shared" si="0"/>
        <v>0.6875</v>
      </c>
    </row>
    <row r="36" spans="1:3" x14ac:dyDescent="0.25">
      <c r="A36" s="2">
        <v>0.70833333333333304</v>
      </c>
      <c r="C36" s="32">
        <f t="shared" si="0"/>
        <v>0.70833333333333304</v>
      </c>
    </row>
    <row r="37" spans="1:3" x14ac:dyDescent="0.25">
      <c r="A37" s="2">
        <v>0.72916666666666696</v>
      </c>
      <c r="C37" s="32">
        <f t="shared" si="0"/>
        <v>0.72916666666666696</v>
      </c>
    </row>
    <row r="38" spans="1:3" x14ac:dyDescent="0.25">
      <c r="A38" s="2">
        <v>0.75</v>
      </c>
      <c r="C38" s="32">
        <f t="shared" si="0"/>
        <v>0.75</v>
      </c>
    </row>
    <row r="39" spans="1:3" x14ac:dyDescent="0.25">
      <c r="A39" s="2">
        <v>0.77083333333333304</v>
      </c>
      <c r="C39" s="32">
        <f t="shared" si="0"/>
        <v>0.77083333333333304</v>
      </c>
    </row>
    <row r="40" spans="1:3" x14ac:dyDescent="0.25">
      <c r="A40" s="2">
        <v>0.79166666666666696</v>
      </c>
      <c r="C40" s="32">
        <f t="shared" si="0"/>
        <v>0.79166666666666696</v>
      </c>
    </row>
    <row r="41" spans="1:3" x14ac:dyDescent="0.25">
      <c r="A41" s="2">
        <v>0.8125</v>
      </c>
      <c r="C41" s="32">
        <f t="shared" si="0"/>
        <v>0.8125</v>
      </c>
    </row>
    <row r="42" spans="1:3" x14ac:dyDescent="0.25">
      <c r="A42" s="2">
        <v>0.83333333333333304</v>
      </c>
      <c r="C42" s="32">
        <f t="shared" si="0"/>
        <v>0.83333333333333304</v>
      </c>
    </row>
    <row r="43" spans="1:3" x14ac:dyDescent="0.25">
      <c r="A43" s="2">
        <v>0.85416666666666696</v>
      </c>
      <c r="C43" s="32">
        <f t="shared" si="0"/>
        <v>0.85416666666666696</v>
      </c>
    </row>
    <row r="44" spans="1:3" x14ac:dyDescent="0.25">
      <c r="A44" s="2">
        <v>0.875</v>
      </c>
      <c r="C44" s="32">
        <f t="shared" si="0"/>
        <v>0.875</v>
      </c>
    </row>
    <row r="45" spans="1:3" x14ac:dyDescent="0.25">
      <c r="A45" s="2">
        <v>0.89583333333333304</v>
      </c>
      <c r="C45" s="32">
        <f t="shared" si="0"/>
        <v>0.89583333333333304</v>
      </c>
    </row>
    <row r="46" spans="1:3" x14ac:dyDescent="0.25">
      <c r="A46" s="2">
        <v>0.91666666666666696</v>
      </c>
      <c r="C46" s="32">
        <f t="shared" si="0"/>
        <v>0.91666666666666696</v>
      </c>
    </row>
    <row r="47" spans="1:3" x14ac:dyDescent="0.25">
      <c r="A47" s="2">
        <v>0.9375</v>
      </c>
      <c r="C47" s="32">
        <f t="shared" si="0"/>
        <v>0.9375</v>
      </c>
    </row>
    <row r="48" spans="1:3" x14ac:dyDescent="0.25">
      <c r="A48" s="2">
        <v>0.95833333333333304</v>
      </c>
      <c r="C48" s="32">
        <f t="shared" si="0"/>
        <v>0.95833333333333304</v>
      </c>
    </row>
    <row r="49" spans="1:3" x14ac:dyDescent="0.25">
      <c r="A49" s="2">
        <v>0.97916666666666696</v>
      </c>
      <c r="C49" s="32">
        <f t="shared" si="0"/>
        <v>0.97916666666666696</v>
      </c>
    </row>
  </sheetData>
  <pageMargins left="0.7" right="0.7" top="0.75" bottom="0.75" header="0.3" footer="0.3"/>
  <pageSetup paperSize="284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AJ43"/>
  <sheetViews>
    <sheetView tabSelected="1" topLeftCell="N7" zoomScaleNormal="130" workbookViewId="0">
      <selection activeCell="R3" sqref="R3"/>
    </sheetView>
  </sheetViews>
  <sheetFormatPr defaultColWidth="11" defaultRowHeight="15.75" x14ac:dyDescent="0.25"/>
  <cols>
    <col min="1" max="1" width="9.125" bestFit="1" customWidth="1"/>
    <col min="2" max="2" width="11.5" bestFit="1" customWidth="1"/>
    <col min="3" max="3" width="10.875" customWidth="1"/>
    <col min="4" max="4" width="15.25" bestFit="1" customWidth="1"/>
    <col min="5" max="5" width="14.125" bestFit="1" customWidth="1"/>
    <col min="6" max="6" width="14.125" customWidth="1"/>
    <col min="7" max="7" width="14.125" style="19" customWidth="1"/>
    <col min="8" max="8" width="11.625" customWidth="1"/>
    <col min="9" max="9" width="13.375" customWidth="1"/>
    <col min="10" max="10" width="11.875" bestFit="1" customWidth="1"/>
    <col min="11" max="11" width="6.375" bestFit="1" customWidth="1"/>
    <col min="12" max="12" width="6.125" bestFit="1" customWidth="1"/>
    <col min="13" max="13" width="6.5" bestFit="1" customWidth="1"/>
    <col min="14" max="14" width="8.375" bestFit="1" customWidth="1"/>
    <col min="15" max="15" width="5.625" bestFit="1" customWidth="1"/>
    <col min="16" max="16" width="28" customWidth="1"/>
    <col min="17" max="17" width="5" customWidth="1"/>
    <col min="18" max="18" width="17" customWidth="1"/>
    <col min="19" max="19" width="9.625" bestFit="1" customWidth="1"/>
    <col min="20" max="21" width="9.625" customWidth="1"/>
    <col min="22" max="23" width="15.25" bestFit="1" customWidth="1"/>
    <col min="26" max="26" width="15.5" customWidth="1"/>
    <col min="28" max="28" width="15.25" bestFit="1" customWidth="1"/>
  </cols>
  <sheetData>
    <row r="1" spans="1:36" x14ac:dyDescent="0.25">
      <c r="K1" s="17" t="s">
        <v>25</v>
      </c>
      <c r="L1" s="17"/>
      <c r="M1" s="17"/>
      <c r="N1" s="17"/>
    </row>
    <row r="2" spans="1:36" x14ac:dyDescent="0.25">
      <c r="A2" t="s">
        <v>17</v>
      </c>
      <c r="B2" t="s">
        <v>20</v>
      </c>
      <c r="D2" t="s">
        <v>18</v>
      </c>
      <c r="E2" t="s">
        <v>19</v>
      </c>
      <c r="F2" t="s">
        <v>21</v>
      </c>
      <c r="H2" t="s">
        <v>18</v>
      </c>
      <c r="I2" t="s">
        <v>22</v>
      </c>
      <c r="J2" t="s">
        <v>23</v>
      </c>
      <c r="K2" s="18" t="s">
        <v>26</v>
      </c>
      <c r="L2" s="18" t="s">
        <v>27</v>
      </c>
      <c r="M2" s="18" t="s">
        <v>28</v>
      </c>
      <c r="N2" s="18" t="s">
        <v>0</v>
      </c>
      <c r="O2" t="s">
        <v>6</v>
      </c>
      <c r="P2" t="s">
        <v>24</v>
      </c>
    </row>
    <row r="3" spans="1:36" x14ac:dyDescent="0.25">
      <c r="A3" t="s">
        <v>1</v>
      </c>
      <c r="B3" s="12">
        <v>44075</v>
      </c>
      <c r="C3" s="19">
        <f>WEEKDAY(B3,2)</f>
        <v>2</v>
      </c>
      <c r="D3" t="str">
        <f>CHOOSE(C3,"Monday","Tuesday","Wednesday","Thursday","Friday","Saturday","Sunday")</f>
        <v>Tuesday</v>
      </c>
      <c r="E3" s="15">
        <v>0.91666666666666696</v>
      </c>
      <c r="F3" s="12">
        <v>44076</v>
      </c>
      <c r="G3" s="19">
        <f>WEEKDAY(F3,2)</f>
        <v>3</v>
      </c>
      <c r="H3" t="str">
        <f>CHOOSE(G3,"Monday","Tuesday","Wednesday","Thursday","Friday","Saturday","Sunday")</f>
        <v>Wednesday</v>
      </c>
      <c r="I3" s="15">
        <v>0.25</v>
      </c>
      <c r="J3" s="10">
        <f>(I3+(I3&lt;E3)-E3)*24</f>
        <v>7.9999999999999929</v>
      </c>
      <c r="K3" s="11">
        <f>IF(H!A3="H","0",MAX(MIN($Y$19,I3+(I3&lt;E3))-MAX($V$19,E3),0)*24)</f>
        <v>0</v>
      </c>
      <c r="L3" s="10">
        <f>IF(H!A3="H","0",MAX(MIN($Y$20,I3+(I3&lt;E3))-MAX($V$20,E3),0)*24)</f>
        <v>0</v>
      </c>
      <c r="M3" s="10">
        <f>IF(H!A3="H","0",MAX(MIN($V$19,I3+(I3&lt;E3))-MAX(0,E3),0)+MAX(MIN($Y$21,I3+(I3&lt;E3))-MAX($V$21,E3),0)*24)</f>
        <v>7.9999999999999929</v>
      </c>
      <c r="N3" s="10" t="str">
        <f>IF(H!A3="H",(I3+(I3&lt;E3)-E3)*24,"0")</f>
        <v>0</v>
      </c>
      <c r="O3" s="10">
        <f>SUM(K3:N3)</f>
        <v>7.9999999999999929</v>
      </c>
      <c r="P3" s="9">
        <f>K3*INDEX($AA$19:$AA$22,MATCH($K$2,$Z$19:$Z$22,0))+L3*INDEX($AA$19:$AA$22,MATCH($L$2,$Z$19:$Z$22,0))+M3*INDEX($AA$19:$AA$22,MATCH($M$2,$Z$19:$Z$22,0))+N3*INDEX($AA$19:$AA$22,MATCH($N$2,$Z$19:$Z$22,0))</f>
        <v>2447.9999999999977</v>
      </c>
      <c r="Q3" s="9"/>
      <c r="R3" s="35" cm="1">
        <f t="array" ref="R3">SUMPRODUCT(
  IF( (S3&gt;ShiftStart)*(T3&lt;ShiftEnd),(T3-S3)*Rate*24,
    (S3&gt;ShiftStart)*
    (S3 &lt;ShiftEnd)*
    (IF( ShiftEnd&lt;=T3,ShiftEnd,T3) - S3)*Rate*24+
    (T3&gt;=ShiftStart)*
    (T3&lt;=ShiftEnd)*
    (T3-IF(ShiftStart&gt;=S3,ShiftStart,S3))*Rate*24
  )
)</f>
        <v>2447.9999999999895</v>
      </c>
      <c r="S3" s="34">
        <f>MOD(B3-1,7)+1+MOD(E3,1)</f>
        <v>3.916666666666667</v>
      </c>
      <c r="T3" s="34">
        <f>MOD(B3-1,7)+1+MOD(I3,1)+IF(MOD(I3,1)&lt;MOD(E3,1),1,0)</f>
        <v>4.25</v>
      </c>
      <c r="U3" s="33"/>
    </row>
    <row r="4" spans="1:36" x14ac:dyDescent="0.25">
      <c r="A4" t="s">
        <v>2</v>
      </c>
      <c r="B4" s="12">
        <v>44082</v>
      </c>
      <c r="C4" s="19">
        <f t="shared" ref="C4:C5" si="0">WEEKDAY(B4,2)</f>
        <v>2</v>
      </c>
      <c r="D4" t="str">
        <f t="shared" ref="D4:D5" si="1">CHOOSE(C4,"Monday","Tuesday","Wednesday","Thursday","Friday","Saturday","Sunday")</f>
        <v>Tuesday</v>
      </c>
      <c r="E4" s="15">
        <v>0.58333333333333304</v>
      </c>
      <c r="F4" s="12">
        <v>44082</v>
      </c>
      <c r="G4" s="19">
        <f t="shared" ref="G4:G5" si="2">WEEKDAY(F4,2)</f>
        <v>2</v>
      </c>
      <c r="H4" t="str">
        <f t="shared" ref="H4:H5" si="3">CHOOSE(G4,"Monday","Tuesday","Wednesday","Thursday","Friday","Saturday","Sunday")</f>
        <v>Tuesday</v>
      </c>
      <c r="I4" s="15">
        <v>0.91666666666666696</v>
      </c>
      <c r="J4" s="10">
        <f>(I4+(I4&lt;E4)-E4)*24</f>
        <v>8.0000000000000142</v>
      </c>
      <c r="K4" s="11">
        <f>IF(H!A4="H","0",MAX(MIN($Y$19,I4+(I4&lt;E4))-MAX($V$19,E4),0)*24)</f>
        <v>3.000000000000008</v>
      </c>
      <c r="L4" s="10">
        <f>IF(H!A4="H","0",MAX(MIN($Y$20,I4+(I4&lt;E4))-MAX($V$20,E4),0)*24)</f>
        <v>4.9999999999999982</v>
      </c>
      <c r="M4" s="10">
        <f>IF(H!A4="H","0",MAX(MIN($V$19,I4+(I4&lt;E4))-MAX(0,E4),0)+MAX(MIN($Y$21,I4+(I4&lt;E4))-MAX($V$21,E4),0)*24)</f>
        <v>7.9936057773011271E-15</v>
      </c>
      <c r="N4" s="10" t="str">
        <f>IF(H!A4="H",(I4+(I4&lt;E4)-E4)*24,"0")</f>
        <v>0</v>
      </c>
      <c r="O4" s="10">
        <f t="shared" ref="O4:O19" si="4">SUM(K4:N4)</f>
        <v>8.0000000000000142</v>
      </c>
      <c r="P4" s="9">
        <f>K4*INDEX($AA$19:$AA$22,MATCH($K$2,$Z$19:$Z$22,0))+L4*INDEX($AA$19:$AA$22,MATCH($L$2,$Z$19:$Z$22,0))+M4*INDEX($AA$19:$AA$22,MATCH($M$2,$Z$19:$Z$22,0))+N4*INDEX($AA$19:$AA$22,MATCH($N$2,$Z$19:$Z$22,0))</f>
        <v>2152.0000000000036</v>
      </c>
      <c r="Q4" s="9"/>
      <c r="R4" s="35" cm="1">
        <f t="array" ref="R4">SUMPRODUCT(
  IF( (S4&gt;ShiftStart)*(T4&lt;ShiftEnd),(T4-S4)*Rate*24,
    (S4&gt;ShiftStart)*
    (S4 &lt;ShiftEnd)*
    (IF( ShiftEnd&lt;=T4,ShiftEnd,T4) - S4)*Rate*24+
    (T4&gt;=ShiftStart)*
    (T4&lt;=ShiftEnd)*
    (T4-IF(ShiftStart&gt;=S4,ShiftStart,S4))*Rate*24
  )
)</f>
        <v>2152</v>
      </c>
      <c r="S4" s="34">
        <f t="shared" ref="S4:S23" si="5">MOD(B4-1,7)+1+MOD(E4,1)</f>
        <v>3.583333333333333</v>
      </c>
      <c r="T4" s="34">
        <f t="shared" ref="T4:T23" si="6">MOD(B4-1,7)+1+MOD(I4,1)+IF(MOD(I4,1)&lt;MOD(E4,1),1,0)</f>
        <v>3.916666666666667</v>
      </c>
      <c r="U4" s="33"/>
    </row>
    <row r="5" spans="1:36" x14ac:dyDescent="0.25">
      <c r="A5" t="s">
        <v>3</v>
      </c>
      <c r="B5" s="12">
        <v>44084</v>
      </c>
      <c r="C5" s="19">
        <f t="shared" si="0"/>
        <v>4</v>
      </c>
      <c r="D5" t="str">
        <f t="shared" si="1"/>
        <v>Thursday</v>
      </c>
      <c r="E5" s="15">
        <v>0.91666666666666696</v>
      </c>
      <c r="F5" s="12">
        <v>44084</v>
      </c>
      <c r="G5" s="19">
        <f t="shared" si="2"/>
        <v>4</v>
      </c>
      <c r="H5" t="str">
        <f t="shared" si="3"/>
        <v>Thursday</v>
      </c>
      <c r="I5" s="15">
        <v>0.25</v>
      </c>
      <c r="J5" s="10">
        <f>(I5+(I5&lt;E5)-E5)*24</f>
        <v>7.9999999999999929</v>
      </c>
      <c r="K5" s="11">
        <f>IF(H!A5="H","0",MAX(MIN($Y$19,I5+(I5&lt;E5))-MAX($V$19,E5),0)*24)</f>
        <v>0</v>
      </c>
      <c r="L5" s="10">
        <f>IF(H!A5="H","0",MAX(MIN($Y$20,I5+(I5&lt;E5))-MAX($V$20,E5),0)*24)</f>
        <v>0</v>
      </c>
      <c r="M5" s="10">
        <f>IF(H!A5="H","0",MAX(MIN($V$19,I5+(I5&lt;E5))-MAX(0,E5),0)+MAX(MIN($Y$21,I5+(I5&lt;E5))-MAX($V$21,E5),0)*24)</f>
        <v>7.9999999999999929</v>
      </c>
      <c r="N5" s="10" t="str">
        <f>IF(H!A5="H",(I5+(I5&lt;E5)-E5)*24,"0")</f>
        <v>0</v>
      </c>
      <c r="O5" s="10">
        <f t="shared" si="4"/>
        <v>7.9999999999999929</v>
      </c>
      <c r="P5" s="9">
        <f>K5*INDEX($AA$19:$AA$22,MATCH($K$2,$Z$19:$Z$22,0))+L5*INDEX($AA$19:$AA$22,MATCH($L$2,$Z$19:$Z$22,0))+M5*INDEX($AA$19:$AA$22,MATCH($M$2,$Z$19:$Z$22,0))+N5*INDEX($AA$19:$AA$22,MATCH($N$2,$Z$19:$Z$22,0))</f>
        <v>2447.9999999999977</v>
      </c>
      <c r="Q5" s="9"/>
      <c r="R5" s="35" cm="1">
        <f t="array" ref="R5">SUMPRODUCT(
  IF( (S5&gt;ShiftStart)*(T5&lt;ShiftEnd),(T5-S5)*Rate*24,
    (S5&gt;ShiftStart)*
    (S5 &lt;ShiftEnd)*
    (IF( ShiftEnd&lt;=T5,ShiftEnd,T5) - S5)*Rate*24+
    (T5&gt;=ShiftStart)*
    (T5&lt;=ShiftEnd)*
    (T5-IF(ShiftStart&gt;=S5,ShiftStart,S5))*Rate*24
  )
)</f>
        <v>2448.0000000000095</v>
      </c>
      <c r="S5" s="34">
        <f t="shared" si="5"/>
        <v>5.916666666666667</v>
      </c>
      <c r="T5" s="34">
        <f t="shared" si="6"/>
        <v>6.25</v>
      </c>
      <c r="U5" s="33"/>
    </row>
    <row r="6" spans="1:36" x14ac:dyDescent="0.25">
      <c r="A6" t="s">
        <v>4</v>
      </c>
      <c r="B6" s="12">
        <v>44079</v>
      </c>
      <c r="C6" s="19">
        <f>WEEKDAY(B6,2)</f>
        <v>6</v>
      </c>
      <c r="D6" t="str">
        <f>CHOOSE(C6,"Monday","Tuesday","Wednesday","Thursday","Friday","Saturday","Sunday")</f>
        <v>Saturday</v>
      </c>
      <c r="E6" s="15">
        <v>0.70833333333333304</v>
      </c>
      <c r="F6" s="12">
        <v>44079</v>
      </c>
      <c r="G6" s="19">
        <f>WEEKDAY(F6,2)</f>
        <v>6</v>
      </c>
      <c r="H6" t="str">
        <f>CHOOSE(G6,"Monday","Tuesday","Wednesday","Thursday","Friday","Saturday","Sunday")</f>
        <v>Saturday</v>
      </c>
      <c r="I6" s="15">
        <v>0.9375</v>
      </c>
      <c r="J6" s="10">
        <f>(I6+(I6&lt;E6)-E6)*24</f>
        <v>5.5000000000000071</v>
      </c>
      <c r="K6" s="11" t="str">
        <f>IF(H!A6="H","0",MAX(MIN($Y$19,I6+(I6&lt;E6))-MAX($V$19,E6),0)*24)</f>
        <v>0</v>
      </c>
      <c r="L6" s="10" t="str">
        <f>IF(H!A6="H","0",MAX(MIN($Y$20,I6+(I6&lt;E6))-MAX($V$20,E6),0)*24)</f>
        <v>0</v>
      </c>
      <c r="M6" s="10" t="str">
        <f>IF(H!A6="H","0",MAX(MIN($V$19,I6+(I6&lt;E6))-MAX(0,E6),0)+MAX(MIN($Y$21,I6+(I6&lt;E6))-MAX($V$21,E6),0)*24)</f>
        <v>0</v>
      </c>
      <c r="N6" s="10">
        <f>IF(H!A6="H",(I6+(I6&lt;E6)-E6)*24,"0")</f>
        <v>5.5000000000000071</v>
      </c>
      <c r="O6" s="10">
        <f t="shared" si="4"/>
        <v>5.5000000000000071</v>
      </c>
      <c r="P6" s="9">
        <f>K6*INDEX($AA$19:$AA$22,MATCH($K$2,$Z$19:$Z$22,0))+L6*INDEX($AA$19:$AA$22,MATCH($L$2,$Z$19:$Z$22,0))+M6*INDEX($AA$19:$AA$22,MATCH($M$2,$Z$19:$Z$22,0))+N6*INDEX($AA$19:$AA$22,MATCH($N$2,$Z$19:$Z$22,0))</f>
        <v>2106.5000000000027</v>
      </c>
      <c r="Q6" s="9"/>
      <c r="R6" s="35" cm="1">
        <f t="array" ref="R6">SUMPRODUCT(
  IF( (S6&gt;ShiftStart)*(T6&lt;ShiftEnd),(T6-S6)*Rate*24,
    (S6&gt;ShiftStart)*
    (S6 &lt;ShiftEnd)*
    (IF( ShiftEnd&lt;=T6,ShiftEnd,T6) - S6)*Rate*24+
    (T6&gt;=ShiftStart)*
    (T6&lt;=ShiftEnd)*
    (T6-IF(ShiftStart&gt;=S6,ShiftStart,S6))*Rate*24
  )
)</f>
        <v>2106.5000000000027</v>
      </c>
      <c r="S6" s="34">
        <f t="shared" si="5"/>
        <v>7.708333333333333</v>
      </c>
      <c r="T6" s="34">
        <f t="shared" si="6"/>
        <v>7.9375</v>
      </c>
      <c r="U6" s="33"/>
    </row>
    <row r="7" spans="1:36" x14ac:dyDescent="0.25">
      <c r="A7" t="s">
        <v>29</v>
      </c>
      <c r="B7" s="12">
        <v>44080</v>
      </c>
      <c r="C7" s="19">
        <f t="shared" ref="C7:C20" si="7">WEEKDAY(B7,2)</f>
        <v>7</v>
      </c>
      <c r="D7" t="str">
        <f t="shared" ref="D7:D20" si="8">CHOOSE(C7,"Monday","Tuesday","Wednesday","Thursday","Friday","Saturday","Sunday")</f>
        <v>Sunday</v>
      </c>
      <c r="E7" s="15">
        <v>0.75</v>
      </c>
      <c r="F7" s="12">
        <v>44080</v>
      </c>
      <c r="G7" s="19">
        <f t="shared" ref="G7:G20" si="9">WEEKDAY(F7,2)</f>
        <v>7</v>
      </c>
      <c r="H7" t="str">
        <f t="shared" ref="H7:H20" si="10">CHOOSE(G7,"Monday","Tuesday","Wednesday","Thursday","Friday","Saturday","Sunday")</f>
        <v>Sunday</v>
      </c>
      <c r="I7" s="15">
        <v>0.97916666666666696</v>
      </c>
      <c r="J7" s="10">
        <f t="shared" ref="J7:J20" si="11">(I7+(I7&lt;E7)-E7)*24</f>
        <v>5.5000000000000071</v>
      </c>
      <c r="K7" s="11" t="str">
        <f>IF(H!A7="H","0",MAX(MIN($Y$19,I7+(I7&lt;E7))-MAX($V$19,E7),0)*24)</f>
        <v>0</v>
      </c>
      <c r="L7" s="10" t="str">
        <f>IF(H!A7="H","0",MAX(MIN($Y$20,I7+(I7&lt;E7))-MAX($V$20,E7),0)*24)</f>
        <v>0</v>
      </c>
      <c r="M7" s="10" t="str">
        <f>IF(H!A7="H","0",MAX(MIN($V$19,I7+(I7&lt;E7))-MAX(0,E7),0)+MAX(MIN($Y$21,I7+(I7&lt;E7))-MAX($V$21,E7),0)*24)</f>
        <v>0</v>
      </c>
      <c r="N7" s="10">
        <f>IF(H!A7="H",(I7+(I7&lt;E7)-E7)*24,"0")</f>
        <v>5.5000000000000071</v>
      </c>
      <c r="O7" s="10">
        <f t="shared" si="4"/>
        <v>5.5000000000000071</v>
      </c>
      <c r="P7" s="9">
        <f t="shared" ref="P7:P19" si="12">K7*INDEX($AA$19:$AA$22,MATCH($K$2,$Z$19:$Z$22,0))+L7*INDEX($AA$19:$AA$22,MATCH($L$2,$Z$19:$Z$22,0))+M7*INDEX($AA$19:$AA$22,MATCH($M$2,$Z$19:$Z$22,0))+N7*INDEX($AA$19:$AA$22,MATCH($N$2,$Z$19:$Z$22,0))</f>
        <v>2106.5000000000027</v>
      </c>
      <c r="Q7" s="9"/>
      <c r="R7" s="35" cm="1">
        <f t="array" ref="R7">SUMPRODUCT(
  IF( (S7&gt;ShiftStart)*(T7&lt;ShiftEnd),(T7-S7)*Rate*24,
    (S7&gt;ShiftStart)*
    (S7 &lt;ShiftEnd)*
    (IF( ShiftEnd&lt;=T7,ShiftEnd,T7) - S7)*Rate*24+
    (T7&gt;=ShiftStart)*
    (T7&lt;=ShiftEnd)*
    (T7-IF(ShiftStart&gt;=S7,ShiftStart,S7))*Rate*24
  )
)</f>
        <v>2106.5000000000027</v>
      </c>
      <c r="S7" s="34">
        <f t="shared" si="5"/>
        <v>1.75</v>
      </c>
      <c r="T7" s="34">
        <f t="shared" si="6"/>
        <v>1.979166666666667</v>
      </c>
      <c r="U7" s="33"/>
    </row>
    <row r="8" spans="1:36" x14ac:dyDescent="0.25">
      <c r="A8" t="s">
        <v>30</v>
      </c>
      <c r="B8" s="12">
        <v>44081</v>
      </c>
      <c r="C8" s="19">
        <f t="shared" si="7"/>
        <v>1</v>
      </c>
      <c r="D8" t="str">
        <f t="shared" si="8"/>
        <v>Monday</v>
      </c>
      <c r="E8" s="15">
        <v>0.79166666666666596</v>
      </c>
      <c r="F8" s="12">
        <v>44081</v>
      </c>
      <c r="G8" s="19">
        <f t="shared" si="9"/>
        <v>1</v>
      </c>
      <c r="H8" t="str">
        <f t="shared" si="10"/>
        <v>Monday</v>
      </c>
      <c r="I8" s="15">
        <v>1.0208333333333299</v>
      </c>
      <c r="J8" s="10">
        <f t="shared" si="11"/>
        <v>5.4999999999999352</v>
      </c>
      <c r="K8" s="11">
        <f>IF(H!A8="H","0",MAX(MIN($Y$19,I8+(I8&lt;E8))-MAX($V$19,E8),0)*24)</f>
        <v>0</v>
      </c>
      <c r="L8" s="10">
        <f>IF(H!A8="H","0",MAX(MIN($Y$20,I8+(I8&lt;E8))-MAX($V$20,E8),0)*24)</f>
        <v>3.000000000000016</v>
      </c>
      <c r="M8" s="10">
        <f>IF(H!A8="H","0",MAX(MIN($V$19,I8+(I8&lt;E8))-MAX(0,E8),0)+MAX(MIN($Y$21,I8+(I8&lt;E8))-MAX($V$21,E8),0)*24)</f>
        <v>2.4999999999999192</v>
      </c>
      <c r="N8" s="10" t="str">
        <f>IF(H!A8="H",(I8+(I8&lt;E8)-E8)*24,"0")</f>
        <v>0</v>
      </c>
      <c r="O8" s="10">
        <f t="shared" si="4"/>
        <v>5.4999999999999352</v>
      </c>
      <c r="P8" s="9">
        <f t="shared" si="12"/>
        <v>1625.9999999999798</v>
      </c>
      <c r="Q8" s="9"/>
      <c r="R8" s="35" cm="1">
        <f t="array" ref="R8">SUMPRODUCT(
  IF( (S8&gt;ShiftStart)*(T8&lt;ShiftEnd),(T8-S8)*Rate*24,
    (S8&gt;ShiftStart)*
    (S8 &lt;ShiftEnd)*
    (IF( ShiftEnd&lt;=T8,ShiftEnd,T8) - S8)*Rate*24+
    (T8&gt;=ShiftStart)*
    (T8&lt;=ShiftEnd)*
    (T8-IF(ShiftStart&gt;=S8,ShiftStart,S8))*Rate*24
  )
)</f>
        <v>1625.9999999999791</v>
      </c>
      <c r="S8" s="34">
        <f t="shared" si="5"/>
        <v>2.7916666666666661</v>
      </c>
      <c r="T8" s="34">
        <f t="shared" si="6"/>
        <v>3.0208333333333299</v>
      </c>
      <c r="U8" s="33"/>
    </row>
    <row r="9" spans="1:36" x14ac:dyDescent="0.25">
      <c r="A9" t="s">
        <v>31</v>
      </c>
      <c r="B9" s="12">
        <v>44082</v>
      </c>
      <c r="C9" s="19">
        <f t="shared" si="7"/>
        <v>2</v>
      </c>
      <c r="D9" t="str">
        <f t="shared" si="8"/>
        <v>Tuesday</v>
      </c>
      <c r="E9" s="15">
        <v>0.83333333333333304</v>
      </c>
      <c r="F9" s="12">
        <v>44082</v>
      </c>
      <c r="G9" s="19">
        <f t="shared" si="9"/>
        <v>2</v>
      </c>
      <c r="H9" t="str">
        <f t="shared" si="10"/>
        <v>Tuesday</v>
      </c>
      <c r="I9" s="15">
        <v>1.0625</v>
      </c>
      <c r="J9" s="10">
        <f t="shared" si="11"/>
        <v>5.5000000000000071</v>
      </c>
      <c r="K9" s="11">
        <f>IF(H!A9="H","0",MAX(MIN($Y$19,I9+(I9&lt;E9))-MAX($V$19,E9),0)*24)</f>
        <v>0</v>
      </c>
      <c r="L9" s="10">
        <f>IF(H!A9="H","0",MAX(MIN($Y$20,I9+(I9&lt;E9))-MAX($V$20,E9),0)*24)</f>
        <v>2.0000000000000062</v>
      </c>
      <c r="M9" s="10">
        <f>IF(H!A9="H","0",MAX(MIN($V$19,I9+(I9&lt;E9))-MAX(0,E9),0)+MAX(MIN($Y$21,I9+(I9&lt;E9))-MAX($V$21,E9),0)*24)</f>
        <v>3.5000000000000009</v>
      </c>
      <c r="N9" s="10" t="str">
        <f>IF(H!A9="H",(I9+(I9&lt;E9)-E9)*24,"0")</f>
        <v>0</v>
      </c>
      <c r="O9" s="10">
        <f t="shared" si="4"/>
        <v>5.5000000000000071</v>
      </c>
      <c r="P9" s="9">
        <f t="shared" si="12"/>
        <v>1645.000000000002</v>
      </c>
      <c r="Q9" s="9"/>
      <c r="R9" s="35" cm="1">
        <f t="array" ref="R9">SUMPRODUCT(
  IF( (S9&gt;ShiftStart)*(T9&lt;ShiftEnd),(T9-S9)*Rate*24,
    (S9&gt;ShiftStart)*
    (S9 &lt;ShiftEnd)*
    (IF( ShiftEnd&lt;=T9,ShiftEnd,T9) - S9)*Rate*24+
    (T9&gt;=ShiftStart)*
    (T9&lt;=ShiftEnd)*
    (T9-IF(ShiftStart&gt;=S9,ShiftStart,S9))*Rate*24
  )
)</f>
        <v>1645.0000000000016</v>
      </c>
      <c r="S9" s="34">
        <f t="shared" si="5"/>
        <v>3.833333333333333</v>
      </c>
      <c r="T9" s="34">
        <f t="shared" si="6"/>
        <v>4.0625</v>
      </c>
      <c r="U9" s="33"/>
    </row>
    <row r="10" spans="1:36" x14ac:dyDescent="0.25">
      <c r="A10" t="s">
        <v>32</v>
      </c>
      <c r="B10" s="12">
        <v>44083</v>
      </c>
      <c r="C10" s="19">
        <f t="shared" si="7"/>
        <v>3</v>
      </c>
      <c r="D10" t="str">
        <f t="shared" si="8"/>
        <v>Wednesday</v>
      </c>
      <c r="E10" s="15">
        <v>0.875</v>
      </c>
      <c r="F10" s="12">
        <v>44083</v>
      </c>
      <c r="G10" s="19">
        <f t="shared" si="9"/>
        <v>3</v>
      </c>
      <c r="H10" t="str">
        <f t="shared" si="10"/>
        <v>Wednesday</v>
      </c>
      <c r="I10" s="15">
        <v>1.1041666666666701</v>
      </c>
      <c r="J10" s="10">
        <f t="shared" si="11"/>
        <v>5.5000000000000817</v>
      </c>
      <c r="K10" s="11">
        <f>IF(H!A10="H","0",MAX(MIN($Y$19,I10+(I10&lt;E10))-MAX($V$19,E10),0)*24)</f>
        <v>0</v>
      </c>
      <c r="L10" s="10">
        <f>IF(H!A10="H","0",MAX(MIN($Y$20,I10+(I10&lt;E10))-MAX($V$20,E10),0)*24)</f>
        <v>0.99999999999999911</v>
      </c>
      <c r="M10" s="10">
        <f>IF(H!A10="H","0",MAX(MIN($V$19,I10+(I10&lt;E10))-MAX(0,E10),0)+MAX(MIN($Y$21,I10+(I10&lt;E10))-MAX($V$21,E10),0)*24)</f>
        <v>4.5000000000000826</v>
      </c>
      <c r="N10" s="10" t="str">
        <f>IF(H!A10="H",(I10+(I10&lt;E10)-E10)*24,"0")</f>
        <v>0</v>
      </c>
      <c r="O10" s="10">
        <f t="shared" si="4"/>
        <v>5.5000000000000817</v>
      </c>
      <c r="P10" s="9">
        <f t="shared" si="12"/>
        <v>1664.000000000025</v>
      </c>
      <c r="Q10" s="9"/>
      <c r="R10" s="35" cm="1">
        <f t="array" ref="R10">SUMPRODUCT(
  IF( (S10&gt;ShiftStart)*(T10&lt;ShiftEnd),(T10-S10)*Rate*24,
    (S10&gt;ShiftStart)*
    (S10 &lt;ShiftEnd)*
    (IF( ShiftEnd&lt;=T10,ShiftEnd,T10) - S10)*Rate*24+
    (T10&gt;=ShiftStart)*
    (T10&lt;=ShiftEnd)*
    (T10-IF(ShiftStart&gt;=S10,ShiftStart,S10))*Rate*24
  )
)</f>
        <v>1664.0000000000216</v>
      </c>
      <c r="S10" s="34">
        <f t="shared" si="5"/>
        <v>4.875</v>
      </c>
      <c r="T10" s="34">
        <f t="shared" si="6"/>
        <v>5.1041666666666696</v>
      </c>
      <c r="U10" s="33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</row>
    <row r="11" spans="1:36" x14ac:dyDescent="0.25">
      <c r="A11" t="s">
        <v>33</v>
      </c>
      <c r="B11" s="12">
        <v>44084</v>
      </c>
      <c r="C11" s="19">
        <f t="shared" si="7"/>
        <v>4</v>
      </c>
      <c r="D11" t="str">
        <f t="shared" si="8"/>
        <v>Thursday</v>
      </c>
      <c r="E11" s="15">
        <v>0.91666666666666596</v>
      </c>
      <c r="F11" s="12">
        <v>44084</v>
      </c>
      <c r="G11" s="19">
        <f t="shared" si="9"/>
        <v>4</v>
      </c>
      <c r="H11" t="str">
        <f t="shared" si="10"/>
        <v>Thursday</v>
      </c>
      <c r="I11" s="15">
        <v>1.1458333333333299</v>
      </c>
      <c r="J11" s="10">
        <f t="shared" si="11"/>
        <v>5.4999999999999352</v>
      </c>
      <c r="K11" s="11">
        <f>IF(H!A11="H","0",MAX(MIN($Y$19,I11+(I11&lt;E11))-MAX($V$19,E11),0)*24)</f>
        <v>0</v>
      </c>
      <c r="L11" s="10">
        <f>IF(H!A11="H","0",MAX(MIN($Y$20,I11+(I11&lt;E11))-MAX($V$20,E11),0)*24)</f>
        <v>1.5987211554602254E-14</v>
      </c>
      <c r="M11" s="10">
        <f>IF(H!A11="H","0",MAX(MIN($V$19,I11+(I11&lt;E11))-MAX(0,E11),0)+MAX(MIN($Y$21,I11+(I11&lt;E11))-MAX($V$21,E11),0)*24)</f>
        <v>5.4999999999999192</v>
      </c>
      <c r="N11" s="10" t="str">
        <f>IF(H!A11="H",(I11+(I11&lt;E11)-E11)*24,"0")</f>
        <v>0</v>
      </c>
      <c r="O11" s="10">
        <f t="shared" si="4"/>
        <v>5.4999999999999352</v>
      </c>
      <c r="P11" s="9">
        <f t="shared" si="12"/>
        <v>1682.9999999999798</v>
      </c>
      <c r="Q11" s="9"/>
      <c r="R11" s="35" cm="1">
        <f t="array" ref="R11">SUMPRODUCT(
  IF( (S11&gt;ShiftStart)*(T11&lt;ShiftEnd),(T11-S11)*Rate*24,
    (S11&gt;ShiftStart)*
    (S11 &lt;ShiftEnd)*
    (IF( ShiftEnd&lt;=T11,ShiftEnd,T11) - S11)*Rate*24+
    (T11&gt;=ShiftStart)*
    (T11&lt;=ShiftEnd)*
    (T11-IF(ShiftStart&gt;=S11,ShiftStart,S11))*Rate*24
  )
)</f>
        <v>1682.9999999999827</v>
      </c>
      <c r="S11" s="34">
        <f t="shared" si="5"/>
        <v>5.9166666666666661</v>
      </c>
      <c r="T11" s="34">
        <f t="shared" si="6"/>
        <v>6.1458333333333304</v>
      </c>
      <c r="U11" s="33"/>
      <c r="V11" s="21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</row>
    <row r="12" spans="1:36" x14ac:dyDescent="0.25">
      <c r="A12" t="s">
        <v>34</v>
      </c>
      <c r="B12" s="12">
        <v>44085</v>
      </c>
      <c r="C12" s="19">
        <f t="shared" si="7"/>
        <v>5</v>
      </c>
      <c r="D12" t="str">
        <f t="shared" si="8"/>
        <v>Friday</v>
      </c>
      <c r="E12" s="15">
        <v>0.95833333333333304</v>
      </c>
      <c r="F12" s="12">
        <v>44086</v>
      </c>
      <c r="G12" s="19">
        <f t="shared" si="9"/>
        <v>6</v>
      </c>
      <c r="H12" t="str">
        <f t="shared" si="10"/>
        <v>Saturday</v>
      </c>
      <c r="I12" s="15">
        <v>1.1875</v>
      </c>
      <c r="J12" s="10">
        <f t="shared" si="11"/>
        <v>5.5000000000000071</v>
      </c>
      <c r="K12" s="11" t="str">
        <f>IF(H!A12="H","0",MAX(MIN($Y$19,I12+(I12&lt;E12))-MAX($V$19,E12),0)*24)</f>
        <v>0</v>
      </c>
      <c r="L12" s="10" t="str">
        <f>IF(H!A12="H","0",MAX(MIN($Y$20,I12+(I12&lt;E12))-MAX($V$20,E12),0)*24)</f>
        <v>0</v>
      </c>
      <c r="M12" s="10" t="str">
        <f>IF(H!A12="H","0",MAX(MIN($V$19,I12+(I12&lt;E12))-MAX(0,E12),0)+MAX(MIN($Y$21,I12+(I12&lt;E12))-MAX($V$21,E12),0)*24)</f>
        <v>0</v>
      </c>
      <c r="N12" s="10">
        <f>IF(H!A12="H",(I12+(I12&lt;E12)-E12)*24,"0")</f>
        <v>5.5000000000000071</v>
      </c>
      <c r="O12" s="10">
        <f t="shared" si="4"/>
        <v>5.5000000000000071</v>
      </c>
      <c r="P12" s="9">
        <f t="shared" si="12"/>
        <v>2106.5000000000027</v>
      </c>
      <c r="Q12" s="9"/>
      <c r="R12" s="35" cm="1">
        <f t="array" ref="R12">SUMPRODUCT(
  IF( (S12&gt;ShiftStart)*(T12&lt;ShiftEnd),(T12-S12)*Rate*24,
    (S12&gt;ShiftStart)*
    (S12 &lt;ShiftEnd)*
    (IF( ShiftEnd&lt;=T12,ShiftEnd,T12) - S12)*Rate*24+
    (T12&gt;=ShiftStart)*
    (T12&lt;=ShiftEnd)*
    (T12-IF(ShiftStart&gt;=S12,ShiftStart,S12))*Rate*24
  )
)</f>
        <v>2106.5000000000027</v>
      </c>
      <c r="S12" s="34">
        <f t="shared" si="5"/>
        <v>6.958333333333333</v>
      </c>
      <c r="T12" s="34">
        <f t="shared" si="6"/>
        <v>7.1875</v>
      </c>
      <c r="U12" s="33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</row>
    <row r="13" spans="1:36" x14ac:dyDescent="0.25">
      <c r="A13" t="s">
        <v>35</v>
      </c>
      <c r="B13" s="12">
        <v>44086</v>
      </c>
      <c r="C13" s="19">
        <f t="shared" si="7"/>
        <v>6</v>
      </c>
      <c r="D13" t="str">
        <f t="shared" si="8"/>
        <v>Saturday</v>
      </c>
      <c r="E13" s="15">
        <v>1</v>
      </c>
      <c r="F13" s="12">
        <v>44086</v>
      </c>
      <c r="G13" s="19">
        <f t="shared" si="9"/>
        <v>6</v>
      </c>
      <c r="H13" t="str">
        <f t="shared" si="10"/>
        <v>Saturday</v>
      </c>
      <c r="I13" s="15">
        <v>1.2291666666666701</v>
      </c>
      <c r="J13" s="10">
        <f t="shared" si="11"/>
        <v>5.5000000000000817</v>
      </c>
      <c r="K13" s="11" t="str">
        <f>IF(H!A13="H","0",MAX(MIN($Y$19,I13+(I13&lt;E13))-MAX($V$19,E13),0)*24)</f>
        <v>0</v>
      </c>
      <c r="L13" s="10" t="str">
        <f>IF(H!A13="H","0",MAX(MIN($Y$20,I13+(I13&lt;E13))-MAX($V$20,E13),0)*24)</f>
        <v>0</v>
      </c>
      <c r="M13" s="10" t="str">
        <f>IF(H!A13="H","0",MAX(MIN($V$19,I13+(I13&lt;E13))-MAX(0,E13),0)+MAX(MIN($Y$21,I13+(I13&lt;E13))-MAX($V$21,E13),0)*24)</f>
        <v>0</v>
      </c>
      <c r="N13" s="10">
        <f>IF(H!A13="H",(I13+(I13&lt;E13)-E13)*24,"0")</f>
        <v>5.5000000000000817</v>
      </c>
      <c r="O13" s="10">
        <f t="shared" si="4"/>
        <v>5.5000000000000817</v>
      </c>
      <c r="P13" s="9">
        <f t="shared" si="12"/>
        <v>2106.5000000000314</v>
      </c>
      <c r="Q13" s="9"/>
      <c r="R13" s="35" cm="1">
        <f t="array" ref="R13">SUMPRODUCT(
  IF( (S13&gt;ShiftStart)*(T13&lt;ShiftEnd),(T13-S13)*Rate*24,
    (S13&gt;ShiftStart)*
    (S13 &lt;ShiftEnd)*
    (IF( ShiftEnd&lt;=T13,ShiftEnd,T13) - S13)*Rate*24+
    (T13&gt;=ShiftStart)*
    (T13&lt;=ShiftEnd)*
    (T13-IF(ShiftStart&gt;=S13,ShiftStart,S13))*Rate*24
  )
)</f>
        <v>2106.5000000000273</v>
      </c>
      <c r="S13" s="34">
        <f t="shared" si="5"/>
        <v>7</v>
      </c>
      <c r="T13" s="34">
        <f t="shared" si="6"/>
        <v>7.2291666666666696</v>
      </c>
      <c r="U13" s="33"/>
      <c r="V13" s="4" t="str">
        <f>IF(OR((C3=5*AND(E3&gt;=TIMEVALUE("17:00"))),C3=6, C3=7)*AND(OR(G3=1*AND(I3&lt;=TIMEVALUE("06:00")), G3=6, G3=7)), "H", "0")</f>
        <v>0</v>
      </c>
    </row>
    <row r="14" spans="1:36" x14ac:dyDescent="0.25">
      <c r="A14" t="s">
        <v>36</v>
      </c>
      <c r="B14" s="12">
        <v>44087</v>
      </c>
      <c r="C14" s="19">
        <f t="shared" si="7"/>
        <v>7</v>
      </c>
      <c r="D14" t="str">
        <f t="shared" si="8"/>
        <v>Sunday</v>
      </c>
      <c r="E14" s="15">
        <v>1.0416666666666701</v>
      </c>
      <c r="F14" s="12">
        <v>44087</v>
      </c>
      <c r="G14" s="19">
        <f t="shared" si="9"/>
        <v>7</v>
      </c>
      <c r="H14" t="str">
        <f t="shared" si="10"/>
        <v>Sunday</v>
      </c>
      <c r="I14" s="15">
        <v>1.2708333333333299</v>
      </c>
      <c r="J14" s="10">
        <f t="shared" si="11"/>
        <v>5.4999999999998366</v>
      </c>
      <c r="K14" s="11" t="str">
        <f>IF(H!A14="H","0",MAX(MIN($Y$19,I14+(I14&lt;E14))-MAX($V$19,E14),0)*24)</f>
        <v>0</v>
      </c>
      <c r="L14" s="10" t="str">
        <f>IF(H!A14="H","0",MAX(MIN($Y$20,I14+(I14&lt;E14))-MAX($V$20,E14),0)*24)</f>
        <v>0</v>
      </c>
      <c r="M14" s="10" t="str">
        <f>IF(H!A14="H","0",MAX(MIN($V$19,I14+(I14&lt;E14))-MAX(0,E14),0)+MAX(MIN($Y$21,I14+(I14&lt;E14))-MAX($V$21,E14),0)*24)</f>
        <v>0</v>
      </c>
      <c r="N14" s="10">
        <f>IF(H!A14="H",(I14+(I14&lt;E14)-E14)*24,"0")</f>
        <v>5.4999999999998366</v>
      </c>
      <c r="O14" s="10">
        <f t="shared" si="4"/>
        <v>5.4999999999998366</v>
      </c>
      <c r="P14" s="9">
        <f t="shared" si="12"/>
        <v>2106.4999999999372</v>
      </c>
      <c r="Q14" s="9"/>
      <c r="R14" s="35" cm="1">
        <f t="array" ref="R14">SUMPRODUCT(
  IF( (S14&gt;ShiftStart)*(T14&lt;ShiftEnd),(T14-S14)*Rate*24,
    (S14&gt;ShiftStart)*
    (S14 &lt;ShiftEnd)*
    (IF( ShiftEnd&lt;=T14,ShiftEnd,T14) - S14)*Rate*24+
    (T14&gt;=ShiftStart)*
    (T14&lt;=ShiftEnd)*
    (T14-IF(ShiftStart&gt;=S14,ShiftStart,S14))*Rate*24
  )
)</f>
        <v>2106.4999999999372</v>
      </c>
      <c r="S14" s="34">
        <f t="shared" si="5"/>
        <v>1.0416666666666701</v>
      </c>
      <c r="T14" s="34">
        <f t="shared" si="6"/>
        <v>1.2708333333333299</v>
      </c>
      <c r="U14" s="33"/>
      <c r="V14" s="4"/>
    </row>
    <row r="15" spans="1:36" x14ac:dyDescent="0.25">
      <c r="A15" t="s">
        <v>37</v>
      </c>
      <c r="B15" s="12">
        <v>44088</v>
      </c>
      <c r="C15" s="19">
        <f t="shared" si="7"/>
        <v>1</v>
      </c>
      <c r="D15" t="str">
        <f t="shared" si="8"/>
        <v>Monday</v>
      </c>
      <c r="E15" s="15">
        <v>1.0833333333333299</v>
      </c>
      <c r="F15" s="12">
        <v>44088</v>
      </c>
      <c r="G15" s="19">
        <f t="shared" si="9"/>
        <v>1</v>
      </c>
      <c r="H15" t="str">
        <f t="shared" si="10"/>
        <v>Monday</v>
      </c>
      <c r="I15" s="15">
        <v>1.3125</v>
      </c>
      <c r="J15" s="10">
        <f t="shared" si="11"/>
        <v>5.5000000000000817</v>
      </c>
      <c r="K15" s="11">
        <f>IF(H!A15="H","0",MAX(MIN($Y$19,I15+(I15&lt;E15))-MAX($V$19,E15),0)*24)</f>
        <v>0</v>
      </c>
      <c r="L15" s="10">
        <f>IF(H!A15="H","0",MAX(MIN($Y$20,I15+(I15&lt;E15))-MAX($V$20,E15),0)*24)</f>
        <v>0</v>
      </c>
      <c r="M15" s="10">
        <f>IF(H!A15="H","0",MAX(MIN($V$19,I15+(I15&lt;E15))-MAX(0,E15),0)+MAX(MIN($Y$21,I15+(I15&lt;E15))-MAX($V$21,E15),0)*24)</f>
        <v>4.0000000000000817</v>
      </c>
      <c r="N15" s="10" t="str">
        <f>IF(H!A15="H",(I15+(I15&lt;E15)-E15)*24,"0")</f>
        <v>0</v>
      </c>
      <c r="O15" s="10">
        <f t="shared" si="4"/>
        <v>4.0000000000000817</v>
      </c>
      <c r="P15" s="9">
        <f t="shared" si="12"/>
        <v>1224.000000000025</v>
      </c>
      <c r="Q15" s="9"/>
      <c r="R15" s="35" cm="1">
        <f t="array" ref="R15">SUMPRODUCT(
  IF( (S15&gt;ShiftStart)*(T15&lt;ShiftEnd),(T15-S15)*Rate*24,
    (S15&gt;ShiftStart)*
    (S15 &lt;ShiftEnd)*
    (IF( ShiftEnd&lt;=T15,ShiftEnd,T15) - S15)*Rate*24+
    (T15&gt;=ShiftStart)*
    (T15&lt;=ShiftEnd)*
    (T15-IF(ShiftStart&gt;=S15,ShiftStart,S15))*Rate*24
  )
)</f>
        <v>1890.5000000000314</v>
      </c>
      <c r="S15" s="34">
        <f t="shared" si="5"/>
        <v>2.0833333333333299</v>
      </c>
      <c r="T15" s="34">
        <f t="shared" si="6"/>
        <v>2.3125</v>
      </c>
      <c r="U15" s="33"/>
      <c r="V15" s="4"/>
    </row>
    <row r="16" spans="1:36" x14ac:dyDescent="0.25">
      <c r="A16" t="s">
        <v>38</v>
      </c>
      <c r="B16" s="12">
        <v>44089</v>
      </c>
      <c r="C16" s="19">
        <f t="shared" si="7"/>
        <v>2</v>
      </c>
      <c r="D16" t="str">
        <f t="shared" si="8"/>
        <v>Tuesday</v>
      </c>
      <c r="E16" s="15">
        <v>1.125</v>
      </c>
      <c r="F16" s="12">
        <v>44089</v>
      </c>
      <c r="G16" s="19">
        <f t="shared" si="9"/>
        <v>2</v>
      </c>
      <c r="H16" t="str">
        <f t="shared" si="10"/>
        <v>Tuesday</v>
      </c>
      <c r="I16" s="15">
        <v>0.39583333333333298</v>
      </c>
      <c r="J16" s="10">
        <f t="shared" si="11"/>
        <v>6.4999999999999929</v>
      </c>
      <c r="K16" s="11">
        <f>IF(H!A16="H","0",MAX(MIN($Y$19,I16+(I16&lt;E16))-MAX($V$19,E16),0)*24)</f>
        <v>0</v>
      </c>
      <c r="L16" s="10">
        <f>IF(H!A16="H","0",MAX(MIN($Y$20,I16+(I16&lt;E16))-MAX($V$20,E16),0)*24)</f>
        <v>0</v>
      </c>
      <c r="M16" s="10">
        <f>IF(H!A16="H","0",MAX(MIN($V$19,I16+(I16&lt;E16))-MAX(0,E16),0)+MAX(MIN($Y$21,I16+(I16&lt;E16))-MAX($V$21,E16),0)*24)</f>
        <v>3</v>
      </c>
      <c r="N16" s="10" t="str">
        <f>IF(H!A16="H",(I16+(I16&lt;E16)-E16)*24,"0")</f>
        <v>0</v>
      </c>
      <c r="O16" s="10">
        <f t="shared" si="4"/>
        <v>3</v>
      </c>
      <c r="P16" s="9">
        <f t="shared" si="12"/>
        <v>918</v>
      </c>
      <c r="Q16" s="9"/>
      <c r="R16" s="35" cm="1">
        <f t="array" ref="R16">SUMPRODUCT(
  IF( (S16&gt;ShiftStart)*(T16&lt;ShiftEnd),(T16-S16)*Rate*24,
    (S16&gt;ShiftStart)*
    (S16 &lt;ShiftEnd)*
    (IF( ShiftEnd&lt;=T16,ShiftEnd,T16) - S16)*Rate*24+
    (T16&gt;=ShiftStart)*
    (T16&lt;=ShiftEnd)*
    (T16-IF(ShiftStart&gt;=S16,ShiftStart,S16))*Rate*24
  )
)</f>
        <v>1754.4999999999989</v>
      </c>
      <c r="S16" s="34">
        <f t="shared" si="5"/>
        <v>3.125</v>
      </c>
      <c r="T16" s="34">
        <f t="shared" si="6"/>
        <v>3.395833333333333</v>
      </c>
      <c r="U16" s="33"/>
      <c r="V16" s="4"/>
    </row>
    <row r="17" spans="1:28" x14ac:dyDescent="0.25">
      <c r="A17" t="s">
        <v>39</v>
      </c>
      <c r="B17" s="12">
        <v>44090</v>
      </c>
      <c r="C17" s="19">
        <f t="shared" si="7"/>
        <v>3</v>
      </c>
      <c r="D17" t="str">
        <f t="shared" si="8"/>
        <v>Wednesday</v>
      </c>
      <c r="E17" s="15">
        <v>1.1666666666666701</v>
      </c>
      <c r="F17" s="12">
        <v>44090</v>
      </c>
      <c r="G17" s="19">
        <f t="shared" si="9"/>
        <v>3</v>
      </c>
      <c r="H17" t="str">
        <f t="shared" si="10"/>
        <v>Wednesday</v>
      </c>
      <c r="I17" s="15">
        <v>1.3958333333333299</v>
      </c>
      <c r="J17" s="10">
        <f t="shared" si="11"/>
        <v>5.4999999999998366</v>
      </c>
      <c r="K17" s="11">
        <f>IF(H!A17="H","0",MAX(MIN($Y$19,I17+(I17&lt;E17))-MAX($V$19,E17),0)*24)</f>
        <v>0</v>
      </c>
      <c r="L17" s="10">
        <f>IF(H!A17="H","0",MAX(MIN($Y$20,I17+(I17&lt;E17))-MAX($V$20,E17),0)*24)</f>
        <v>0</v>
      </c>
      <c r="M17" s="10">
        <f>IF(H!A17="H","0",MAX(MIN($V$19,I17+(I17&lt;E17))-MAX(0,E17),0)+MAX(MIN($Y$21,I17+(I17&lt;E17))-MAX($V$21,E17),0)*24)</f>
        <v>1.9999999999999183</v>
      </c>
      <c r="N17" s="10" t="str">
        <f>IF(H!A17="H",(I17+(I17&lt;E17)-E17)*24,"0")</f>
        <v>0</v>
      </c>
      <c r="O17" s="10">
        <f t="shared" si="4"/>
        <v>1.9999999999999183</v>
      </c>
      <c r="P17" s="9">
        <f t="shared" si="12"/>
        <v>611.99999999997499</v>
      </c>
      <c r="Q17" s="9"/>
      <c r="R17" s="35" cm="1">
        <f t="array" ref="R17">SUMPRODUCT(
  IF( (S17&gt;ShiftStart)*(T17&lt;ShiftEnd),(T17-S17)*Rate*24,
    (S17&gt;ShiftStart)*
    (S17 &lt;ShiftEnd)*
    (IF( ShiftEnd&lt;=T17,ShiftEnd,T17) - S17)*Rate*24+
    (T17&gt;=ShiftStart)*
    (T17&lt;=ShiftEnd)*
    (T17-IF(ShiftStart&gt;=S17,ShiftStart,S17))*Rate*24
  )
)</f>
        <v>1448.4999999999627</v>
      </c>
      <c r="S17" s="34">
        <f t="shared" si="5"/>
        <v>4.1666666666666696</v>
      </c>
      <c r="T17" s="34">
        <f t="shared" si="6"/>
        <v>4.3958333333333304</v>
      </c>
      <c r="U17" s="33"/>
      <c r="V17" s="4"/>
    </row>
    <row r="18" spans="1:28" x14ac:dyDescent="0.25">
      <c r="A18" t="s">
        <v>40</v>
      </c>
      <c r="B18" s="12">
        <v>44091</v>
      </c>
      <c r="C18" s="19">
        <f t="shared" si="7"/>
        <v>4</v>
      </c>
      <c r="D18" t="str">
        <f t="shared" si="8"/>
        <v>Thursday</v>
      </c>
      <c r="E18" s="15">
        <v>1.2083333333333299</v>
      </c>
      <c r="F18" s="12">
        <v>44091</v>
      </c>
      <c r="G18" s="19">
        <f t="shared" si="9"/>
        <v>4</v>
      </c>
      <c r="H18" t="str">
        <f t="shared" si="10"/>
        <v>Thursday</v>
      </c>
      <c r="I18" s="15">
        <v>1.4375</v>
      </c>
      <c r="J18" s="10">
        <f t="shared" si="11"/>
        <v>5.5000000000000817</v>
      </c>
      <c r="K18" s="11">
        <f>IF(H!A18="H","0",MAX(MIN($Y$19,I18+(I18&lt;E18))-MAX($V$19,E18),0)*24)</f>
        <v>0</v>
      </c>
      <c r="L18" s="10">
        <f>IF(H!A18="H","0",MAX(MIN($Y$20,I18+(I18&lt;E18))-MAX($V$20,E18),0)*24)</f>
        <v>0</v>
      </c>
      <c r="M18" s="10">
        <f>IF(H!A18="H","0",MAX(MIN($V$19,I18+(I18&lt;E18))-MAX(0,E18),0)+MAX(MIN($Y$21,I18+(I18&lt;E18))-MAX($V$21,E18),0)*24)</f>
        <v>1.0000000000000817</v>
      </c>
      <c r="N18" s="10" t="str">
        <f>IF(H!A18="H",(I18+(I18&lt;E18)-E18)*24,"0")</f>
        <v>0</v>
      </c>
      <c r="O18" s="10">
        <f t="shared" si="4"/>
        <v>1.0000000000000817</v>
      </c>
      <c r="P18" s="9">
        <f t="shared" si="12"/>
        <v>306.00000000002501</v>
      </c>
      <c r="Q18" s="9"/>
      <c r="R18" s="35" cm="1">
        <f t="array" ref="R18">SUMPRODUCT(
  IF( (S18&gt;ShiftStart)*(T18&lt;ShiftEnd),(T18-S18)*Rate*24,
    (S18&gt;ShiftStart)*
    (S18 &lt;ShiftEnd)*
    (IF( ShiftEnd&lt;=T18,ShiftEnd,T18) - S18)*Rate*24+
    (T18&gt;=ShiftStart)*
    (T18&lt;=ShiftEnd)*
    (T18-IF(ShiftStart&gt;=S18,ShiftStart,S18))*Rate*24
  )
)</f>
        <v>1381.5000000000218</v>
      </c>
      <c r="S18" s="34">
        <f t="shared" si="5"/>
        <v>5.2083333333333304</v>
      </c>
      <c r="T18" s="34">
        <f t="shared" si="6"/>
        <v>5.4375</v>
      </c>
      <c r="U18" s="33"/>
      <c r="X18" s="19"/>
      <c r="AA18" t="s">
        <v>5</v>
      </c>
    </row>
    <row r="19" spans="1:28" x14ac:dyDescent="0.25">
      <c r="A19" t="s">
        <v>41</v>
      </c>
      <c r="B19" s="12">
        <v>44092</v>
      </c>
      <c r="C19" s="19">
        <f t="shared" si="7"/>
        <v>5</v>
      </c>
      <c r="D19" t="str">
        <f t="shared" si="8"/>
        <v>Friday</v>
      </c>
      <c r="E19" s="15">
        <v>1.25</v>
      </c>
      <c r="F19" s="12">
        <v>44092</v>
      </c>
      <c r="G19" s="19">
        <f t="shared" si="9"/>
        <v>5</v>
      </c>
      <c r="H19" t="str">
        <f t="shared" si="10"/>
        <v>Friday</v>
      </c>
      <c r="I19" s="15">
        <v>0.75</v>
      </c>
      <c r="J19" s="10">
        <f t="shared" si="11"/>
        <v>12</v>
      </c>
      <c r="K19" s="11">
        <f>IF(H!A19="H","0",MAX(MIN($Y$19,I19+(I19&lt;E19))-MAX($V$19,E19),0)*24)</f>
        <v>0</v>
      </c>
      <c r="L19" s="10">
        <f>IF(H!A19="H","0",MAX(MIN($Y$20,I19+(I19&lt;E19))-MAX($V$20,E19),0)*24)</f>
        <v>0</v>
      </c>
      <c r="M19" s="10">
        <f>IF(H!A19="H","0",MAX(MIN($V$19,I19+(I19&lt;E19))-MAX(0,E19),0)+MAX(MIN($Y$21,I19+(I19&lt;E19))-MAX($V$21,E19),0)*24)</f>
        <v>0</v>
      </c>
      <c r="N19" s="10" t="str">
        <f>IF(H!A19="H",(I19+(I19&lt;E19)-E19)*24,"0")</f>
        <v>0</v>
      </c>
      <c r="O19" s="10">
        <f t="shared" si="4"/>
        <v>0</v>
      </c>
      <c r="P19" s="9">
        <f t="shared" si="12"/>
        <v>0</v>
      </c>
      <c r="Q19" s="9"/>
      <c r="R19" s="35" cm="1">
        <f t="array" ref="R19">SUMPRODUCT(
  IF( (S19&gt;ShiftStart)*(T19&lt;ShiftEnd),(T19-S19)*Rate*24,
    (S19&gt;ShiftStart)*
    (S19 &lt;ShiftEnd)*
    (IF( ShiftEnd&lt;=T19,ShiftEnd,T19) - S19)*Rate*24+
    (T19&gt;=ShiftStart)*
    (T19&lt;=ShiftEnd)*
    (T19-IF(ShiftStart&gt;=S19,ShiftStart,S19))*Rate*24
  )
)</f>
        <v>383.00000000001091</v>
      </c>
      <c r="S19" s="34">
        <f t="shared" si="5"/>
        <v>6.25</v>
      </c>
      <c r="T19" s="34">
        <f t="shared" si="6"/>
        <v>6.75</v>
      </c>
      <c r="U19" s="33"/>
      <c r="V19" s="1">
        <v>0.25</v>
      </c>
      <c r="W19" s="1"/>
      <c r="X19" s="19"/>
      <c r="Y19" s="1">
        <v>0.70833333333333337</v>
      </c>
      <c r="Z19" s="7" t="str">
        <f>IF(OR(V19&gt;V35,V19&lt;V36)*AND(OR(Y19&gt;V37,Y19&lt;V38)),"D","ŹLE")</f>
        <v>D</v>
      </c>
      <c r="AA19" s="9">
        <v>239</v>
      </c>
    </row>
    <row r="20" spans="1:28" x14ac:dyDescent="0.25">
      <c r="B20" s="12">
        <v>44087</v>
      </c>
      <c r="C20" s="19">
        <f t="shared" si="7"/>
        <v>7</v>
      </c>
      <c r="D20" t="str">
        <f t="shared" si="8"/>
        <v>Sunday</v>
      </c>
      <c r="E20" s="15">
        <v>0.97916666666666696</v>
      </c>
      <c r="F20" s="12">
        <v>44088</v>
      </c>
      <c r="G20" s="19">
        <f t="shared" si="9"/>
        <v>1</v>
      </c>
      <c r="H20" t="str">
        <f t="shared" si="10"/>
        <v>Monday</v>
      </c>
      <c r="I20" s="15">
        <v>0.3125</v>
      </c>
      <c r="J20" s="10">
        <f t="shared" si="11"/>
        <v>7.9999999999999929</v>
      </c>
      <c r="K20" s="11">
        <f>IF(H!A20="H","0",MAX(MIN($Y$19,I20+(I20&lt;E20))-MAX($V$19,E20),0)*24)</f>
        <v>0</v>
      </c>
      <c r="L20" s="10">
        <f>IF(H!A20="H","0",MAX(MIN($Y$20,I20+(I20&lt;E20))-MAX($V$20,E20),0)*24)</f>
        <v>0</v>
      </c>
      <c r="M20" s="10">
        <f>IF(H!A20="H","0",MAX(MIN($V$19,I20+(I20&lt;E20))-MAX(0,E20),0)+MAX(MIN($Y$21,I20+(I20&lt;E20))-MAX($V$21,E20),0)*24)</f>
        <v>6.4999999999999929</v>
      </c>
      <c r="N20" s="10" t="str">
        <f>IF(H!A20="H",(I20+(I20&lt;E20)-E20)*24,"0")</f>
        <v>0</v>
      </c>
      <c r="O20" s="10">
        <f t="shared" ref="O20" si="13">SUM(K20:N20)</f>
        <v>6.4999999999999929</v>
      </c>
      <c r="P20" s="9"/>
      <c r="Q20" s="9"/>
      <c r="R20" s="35" cm="1">
        <f t="array" ref="R20">SUMPRODUCT(
  IF( (S20&gt;ShiftStart)*(T20&lt;ShiftEnd),(T20-S20)*Rate*24,
    (S20&gt;ShiftStart)*
    (S20 &lt;ShiftEnd)*
    (IF( ShiftEnd&lt;=T20,ShiftEnd,T20) - S20)*Rate*24+
    (T20&gt;=ShiftStart)*
    (T20&lt;=ShiftEnd)*
    (T20-IF(ShiftStart&gt;=S20,ShiftStart,S20))*Rate*24
  )
)</f>
        <v>549.99999999999727</v>
      </c>
      <c r="S20" s="34">
        <f t="shared" si="5"/>
        <v>1.979166666666667</v>
      </c>
      <c r="T20" s="34">
        <f t="shared" si="6"/>
        <v>2.3125</v>
      </c>
      <c r="U20" s="33"/>
      <c r="V20" s="2">
        <v>0.70833333333333337</v>
      </c>
      <c r="W20" s="2"/>
      <c r="X20" s="19"/>
      <c r="Y20" s="2">
        <v>0.91666666666666663</v>
      </c>
      <c r="Z20" s="8" t="str">
        <f>IF(OR(V20&gt;W35,V20&lt;W36)*AND(OR(Y20&gt;W37,Y20&lt;W38)),"K","ŹLE")</f>
        <v>K</v>
      </c>
      <c r="AA20" s="9">
        <v>287</v>
      </c>
    </row>
    <row r="21" spans="1:28" x14ac:dyDescent="0.25">
      <c r="B21" s="12">
        <v>44075</v>
      </c>
      <c r="C21" s="19">
        <f t="shared" ref="C21" si="14">WEEKDAY(B21,2)</f>
        <v>2</v>
      </c>
      <c r="D21" t="str">
        <f t="shared" ref="D21" si="15">CHOOSE(C21,"Monday","Tuesday","Wednesday","Thursday","Friday","Saturday","Sunday")</f>
        <v>Tuesday</v>
      </c>
      <c r="E21" s="15">
        <v>0.91666666666666696</v>
      </c>
      <c r="F21" s="12">
        <v>44076</v>
      </c>
      <c r="G21" s="19">
        <f t="shared" ref="G21" si="16">WEEKDAY(F21,2)</f>
        <v>3</v>
      </c>
      <c r="H21" t="str">
        <f t="shared" ref="H21" si="17">CHOOSE(G21,"Monday","Tuesday","Wednesday","Thursday","Friday","Saturday","Sunday")</f>
        <v>Wednesday</v>
      </c>
      <c r="I21" s="15">
        <v>0.25</v>
      </c>
      <c r="J21" s="10">
        <f t="shared" ref="J21" si="18">(I21+(I21&lt;E21)-E21)*24</f>
        <v>7.9999999999999929</v>
      </c>
      <c r="K21" s="11">
        <f>IF(H!A21="H","0",MAX(MIN($Y$19,I21+(I21&lt;E21))-MAX($V$19,E21),0)*24)</f>
        <v>0</v>
      </c>
      <c r="L21" s="10">
        <f>IF(H!A21="H","0",MAX(MIN($Y$20,I21+(I21&lt;E21))-MAX($V$20,E21),0)*24)</f>
        <v>0</v>
      </c>
      <c r="M21" s="10">
        <f>IF(H!A21="H","0",MAX(MIN($V$19,I21+(I21&lt;E21))-MAX(0,E21),0)+MAX(MIN($Y$21,I21+(I21&lt;E21))-MAX($V$21,E21),0)*24)</f>
        <v>7.9999999999999929</v>
      </c>
      <c r="N21" s="10" t="str">
        <f>IF(H!A21="H",(I21+(I21&lt;E21)-E21)*24,"0")</f>
        <v>0</v>
      </c>
      <c r="O21" s="10">
        <f t="shared" ref="O21" si="19">SUM(K21:N21)</f>
        <v>7.9999999999999929</v>
      </c>
      <c r="P21" s="9" cm="1">
        <f t="array" ref="P21">SUMPRODUCT((
  (MOD($B21,7)+$E21&gt;=ShiftStart)*
  ((MOD($B21,7)+$E21)&lt;ShiftEnd)*
  (MOD($B21,7)+$E21-ShiftStart)*Rate*24)+
  (MOD($F21,7)+$I21&gt;ShiftStart)*
  ((MOD($F21,7)+$I21)&lt;=ShiftEnd)*
  ((MOD($F21,7)+$I21-ShiftStart)*Rate*24)
)</f>
        <v>2447.9999999999914</v>
      </c>
      <c r="Q21" s="9"/>
      <c r="R21" s="35" cm="1">
        <f t="array" ref="R21">SUMPRODUCT(
  IF( (S21&gt;ShiftStart)*(T21&lt;ShiftEnd),(T21-S21)*Rate*24,
    (S21&gt;ShiftStart)*
    (S21 &lt;ShiftEnd)*
    (IF( ShiftEnd&lt;=T21,ShiftEnd,T21) - S21)*Rate*24+
    (T21&gt;=ShiftStart)*
    (T21&lt;=ShiftEnd)*
    (T21-IF(ShiftStart&gt;=S21,ShiftStart,S21))*Rate*24
  )
)</f>
        <v>2447.9999999999895</v>
      </c>
      <c r="S21" s="34">
        <f t="shared" si="5"/>
        <v>3.916666666666667</v>
      </c>
      <c r="T21" s="34">
        <f t="shared" si="6"/>
        <v>4.25</v>
      </c>
      <c r="U21" s="33"/>
      <c r="V21" s="2">
        <v>0.91666666666666663</v>
      </c>
      <c r="W21" s="2"/>
      <c r="X21" s="19"/>
      <c r="Y21" s="2">
        <v>1.25</v>
      </c>
      <c r="Z21" s="5" t="str">
        <f>IF(OR(V21&gt;X35,V21&lt;X36)*AND(OR(Y21&gt;X37,Y21&lt;X38)),"N","ŹLE")</f>
        <v>N</v>
      </c>
      <c r="AA21" s="9">
        <v>306</v>
      </c>
    </row>
    <row r="22" spans="1:28" x14ac:dyDescent="0.25">
      <c r="B22" s="12">
        <v>44091</v>
      </c>
      <c r="C22" s="19">
        <f t="shared" ref="C22" si="20">WEEKDAY(B22,2)</f>
        <v>4</v>
      </c>
      <c r="D22" t="str">
        <f t="shared" ref="D22" si="21">CHOOSE(C22,"Monday","Tuesday","Wednesday","Thursday","Friday","Saturday","Sunday")</f>
        <v>Thursday</v>
      </c>
      <c r="E22" s="15">
        <v>0.20833333333333301</v>
      </c>
      <c r="F22" s="12">
        <v>44091</v>
      </c>
      <c r="G22" s="19">
        <f t="shared" ref="G22" si="22">WEEKDAY(F22,2)</f>
        <v>4</v>
      </c>
      <c r="H22" t="str">
        <f t="shared" ref="H22" si="23">CHOOSE(G22,"Monday","Tuesday","Wednesday","Thursday","Friday","Saturday","Sunday")</f>
        <v>Thursday</v>
      </c>
      <c r="I22" s="15">
        <v>0.4375</v>
      </c>
      <c r="J22" s="10"/>
      <c r="K22" s="11"/>
      <c r="L22" s="10"/>
      <c r="M22" s="10"/>
      <c r="N22" s="10"/>
      <c r="O22" s="10"/>
      <c r="P22" s="9" cm="1">
        <f t="array" ref="P22">SUMPRODUCT(
  (MOD($B22,7)+$E22&gt;=ShiftStart)*
  ((MOD($B22,7)+$E22)&lt;ShiftEnd)*
  (ShiftEnd - (MOD($B22,7)+$E22))*Rate*24+
  (MOD($F22,7)+$I22&gt;ShiftStart)*
  ((MOD($F22,7)+$I22)&lt;=ShiftEnd)*
  ((MOD($F22,7)+$I22-ShiftStart)*Rate*24)
)</f>
        <v>1381.5000000000023</v>
      </c>
      <c r="Q22" s="9"/>
      <c r="R22" s="35" cm="1">
        <f t="array" ref="R22">SUMPRODUCT(
  IF( (S22&gt;ShiftStart)*(T22&lt;ShiftEnd),(T22-S22)*Rate*24,
    (S22&gt;ShiftStart)*
    (S22 &lt;ShiftEnd)*
    (IF( ShiftEnd&lt;=T22,ShiftEnd,T22) - S22)*Rate*24+
    (T22&gt;=ShiftStart)*
    (T22&lt;=ShiftEnd)*
    (T22-IF(ShiftStart&gt;=S22,ShiftStart,S22))*Rate*24
  )
)</f>
        <v>1381.5000000000023</v>
      </c>
      <c r="S22" s="34">
        <f t="shared" si="5"/>
        <v>5.208333333333333</v>
      </c>
      <c r="T22" s="34">
        <f t="shared" si="6"/>
        <v>5.4375</v>
      </c>
      <c r="U22" s="33"/>
      <c r="V22" s="16">
        <v>0.70833333333333337</v>
      </c>
      <c r="W22" s="3"/>
      <c r="X22" s="20"/>
      <c r="Y22" s="16">
        <v>0.25</v>
      </c>
      <c r="Z22" s="6" t="str">
        <f>IF(OR(V22&gt;Y35,V22&lt;Y36)*AND(OR(Y22&gt;Y37,Y22&lt;Y38)),"H","ŹLE")</f>
        <v>H</v>
      </c>
      <c r="AA22" s="9">
        <v>383</v>
      </c>
    </row>
    <row r="23" spans="1:28" x14ac:dyDescent="0.25">
      <c r="B23" s="12">
        <v>44081</v>
      </c>
      <c r="C23" s="19">
        <f t="shared" ref="C23" si="24">WEEKDAY(B23,2)</f>
        <v>1</v>
      </c>
      <c r="D23" t="str">
        <f t="shared" ref="D23" si="25">CHOOSE(C23,"Monday","Tuesday","Wednesday","Thursday","Friday","Saturday","Sunday")</f>
        <v>Monday</v>
      </c>
      <c r="E23" s="15">
        <v>0.16666666666666699</v>
      </c>
      <c r="F23" s="12">
        <v>44081</v>
      </c>
      <c r="G23" s="19">
        <f t="shared" ref="G23" si="26">WEEKDAY(F23,2)</f>
        <v>1</v>
      </c>
      <c r="H23" t="str">
        <f t="shared" ref="H23" si="27">CHOOSE(G23,"Monday","Tuesday","Wednesday","Thursday","Friday","Saturday","Sunday")</f>
        <v>Monday</v>
      </c>
      <c r="I23" s="15">
        <v>0.5</v>
      </c>
      <c r="J23" s="10"/>
      <c r="K23" s="11"/>
      <c r="L23" s="10"/>
      <c r="M23" s="10"/>
      <c r="N23" s="10"/>
      <c r="O23" s="10"/>
      <c r="P23" s="9" cm="1">
        <f t="array" ref="P23">SUMPRODUCT(
  (MOD($B23,7)+$E23&gt;=ShiftStart)*
  ((MOD($B23,7)+$E23)&lt;ShiftEnd)*
  (ShiftEnd - (MOD($B23,7)+$E23))*Rate*24+
  (MOD($F23,7)+$I23&gt;ShiftStart)*
  ((MOD($F23,7)+$I23)&lt;=ShiftEnd)*
  ((MOD($F23,7)+$I23-ShiftStart)*Rate*24)
)</f>
        <v>2199.9999999999973</v>
      </c>
      <c r="Q23" s="9"/>
      <c r="R23" s="35" cm="1">
        <f t="array" ref="R23">SUMPRODUCT(
  IF( (S23&gt;ShiftStart)*(T23&lt;ShiftEnd),(T23-S23)*Rate*24,
    (S23&gt;ShiftStart)*
    (S23 &lt;ShiftEnd)*
    (IF( ShiftEnd&lt;=T23,ShiftEnd,T23) - S23)*Rate*24+
    (T23&gt;=ShiftStart)*
    (T23&lt;=ShiftEnd)*
    (T23-IF(ShiftStart&gt;=S23,ShiftStart,S23))*Rate*24
  )
)</f>
        <v>2199.9999999999973</v>
      </c>
      <c r="S23" s="34">
        <f t="shared" si="5"/>
        <v>2.166666666666667</v>
      </c>
      <c r="T23" s="34">
        <f t="shared" si="6"/>
        <v>2.5</v>
      </c>
      <c r="U23" s="33"/>
      <c r="V23" s="4"/>
    </row>
    <row r="24" spans="1:28" x14ac:dyDescent="0.25">
      <c r="B24" s="12"/>
      <c r="C24" s="19"/>
      <c r="E24" s="15"/>
      <c r="F24" s="12"/>
      <c r="I24" s="15"/>
      <c r="J24" s="10"/>
      <c r="K24" s="11"/>
      <c r="L24" s="10"/>
      <c r="M24" s="10"/>
      <c r="N24" s="10"/>
      <c r="O24" s="10"/>
      <c r="P24" s="9"/>
      <c r="Q24" s="9"/>
      <c r="R24" s="9"/>
      <c r="S24" s="9"/>
      <c r="T24" s="9"/>
      <c r="U24" s="9"/>
      <c r="V24" s="4"/>
    </row>
    <row r="25" spans="1:28" x14ac:dyDescent="0.25">
      <c r="B25" s="12"/>
      <c r="C25" s="19"/>
      <c r="E25" s="15"/>
      <c r="F25" s="12"/>
      <c r="I25" s="15"/>
      <c r="J25" s="10"/>
      <c r="K25" s="11"/>
      <c r="L25" s="10"/>
      <c r="M25" s="10"/>
      <c r="N25" s="10"/>
      <c r="O25" s="10"/>
      <c r="P25" s="9"/>
      <c r="Q25" s="9"/>
      <c r="R25" s="9"/>
      <c r="S25" s="9"/>
      <c r="T25" s="9"/>
      <c r="U25" s="9"/>
      <c r="V25" s="4"/>
    </row>
    <row r="26" spans="1:28" x14ac:dyDescent="0.25">
      <c r="B26" s="12"/>
      <c r="C26" s="19"/>
      <c r="E26" s="15"/>
      <c r="F26" s="12"/>
      <c r="I26" s="15"/>
      <c r="J26" s="10"/>
      <c r="K26" s="11"/>
      <c r="L26" s="10"/>
      <c r="M26" s="10"/>
      <c r="N26" s="10"/>
      <c r="O26" s="10"/>
      <c r="P26" s="9"/>
      <c r="Q26" s="9"/>
      <c r="R26" s="9"/>
      <c r="S26" s="9"/>
      <c r="T26" s="9"/>
      <c r="U26" s="9"/>
    </row>
    <row r="27" spans="1:28" x14ac:dyDescent="0.25">
      <c r="B27" s="12"/>
      <c r="C27" s="19"/>
      <c r="E27" s="15"/>
      <c r="F27" s="12"/>
      <c r="I27" s="15"/>
      <c r="J27" s="10"/>
      <c r="K27" s="11"/>
      <c r="L27" s="10"/>
      <c r="M27" s="10"/>
      <c r="N27" s="10"/>
      <c r="O27" s="10"/>
      <c r="P27" s="9"/>
      <c r="Q27" s="32"/>
      <c r="R27" s="32"/>
      <c r="S27" s="32"/>
      <c r="T27" s="32"/>
      <c r="U27" s="32"/>
      <c r="V27" s="32"/>
      <c r="W27" s="31">
        <f>V27</f>
        <v>0</v>
      </c>
      <c r="Z27" s="32"/>
      <c r="AA27" s="32"/>
      <c r="AB27" s="32"/>
    </row>
    <row r="28" spans="1:28" x14ac:dyDescent="0.25">
      <c r="B28" s="12"/>
      <c r="C28" s="19"/>
      <c r="D28" s="32"/>
      <c r="E28" s="15"/>
      <c r="F28" s="12"/>
      <c r="I28" s="15"/>
      <c r="J28" s="10"/>
      <c r="K28" s="11"/>
      <c r="L28" s="10"/>
      <c r="M28" s="10"/>
      <c r="N28" s="10"/>
      <c r="O28" s="10"/>
      <c r="P28" s="9"/>
      <c r="Q28" s="32"/>
      <c r="R28" s="32"/>
      <c r="S28" s="32"/>
      <c r="T28" s="32"/>
      <c r="U28" s="32"/>
      <c r="V28" s="19"/>
      <c r="W28" s="1">
        <f>P28</f>
        <v>0</v>
      </c>
      <c r="X28" s="1">
        <f>V28</f>
        <v>0</v>
      </c>
      <c r="Z28" s="32"/>
      <c r="AB28" s="32">
        <f t="shared" ref="AB28:AB34" si="28">MOD($F17,7)+$I17</f>
        <v>5.3958333333333304</v>
      </c>
    </row>
    <row r="29" spans="1:28" x14ac:dyDescent="0.25">
      <c r="B29" s="12"/>
      <c r="C29" s="19"/>
      <c r="D29" s="32"/>
      <c r="E29" s="15"/>
      <c r="F29" s="12"/>
      <c r="I29" s="15"/>
      <c r="J29" s="10"/>
      <c r="K29" s="11"/>
      <c r="L29" s="10"/>
      <c r="M29" s="10"/>
      <c r="N29" s="10"/>
      <c r="O29" s="10"/>
      <c r="P29" s="9"/>
      <c r="Q29" s="9"/>
      <c r="R29" s="9"/>
      <c r="S29" s="9"/>
      <c r="T29" s="9"/>
      <c r="U29" s="9"/>
      <c r="V29" s="19"/>
      <c r="W29" s="1">
        <f t="shared" ref="W29:W37" si="29">P29</f>
        <v>0</v>
      </c>
      <c r="X29" s="1">
        <f t="shared" ref="X29:X37" si="30">V29</f>
        <v>0</v>
      </c>
      <c r="Z29" s="32"/>
      <c r="AB29" s="32">
        <f t="shared" si="28"/>
        <v>6.4375</v>
      </c>
    </row>
    <row r="30" spans="1:28" x14ac:dyDescent="0.25">
      <c r="B30" s="12"/>
      <c r="C30" s="19"/>
      <c r="E30" s="15"/>
      <c r="F30" s="12"/>
      <c r="I30" s="15"/>
      <c r="J30" s="10"/>
      <c r="K30" s="11"/>
      <c r="L30" s="10"/>
      <c r="M30" s="10"/>
      <c r="N30" s="10"/>
      <c r="O30" s="10"/>
      <c r="P30" s="9"/>
      <c r="Q30" s="9"/>
      <c r="R30" s="9"/>
      <c r="S30" s="9"/>
      <c r="T30" s="9"/>
      <c r="U30" s="9"/>
      <c r="V30" s="19"/>
      <c r="W30" s="1">
        <f t="shared" si="29"/>
        <v>0</v>
      </c>
      <c r="X30" s="1">
        <f t="shared" si="30"/>
        <v>0</v>
      </c>
      <c r="Z30" s="32"/>
      <c r="AB30" s="32">
        <f t="shared" si="28"/>
        <v>6.75</v>
      </c>
    </row>
    <row r="31" spans="1:28" x14ac:dyDescent="0.25">
      <c r="B31" s="12"/>
      <c r="C31" s="19"/>
      <c r="D31" s="32"/>
      <c r="E31" s="15"/>
      <c r="F31" s="12"/>
      <c r="I31" s="15"/>
      <c r="J31" s="10"/>
      <c r="K31" s="11"/>
      <c r="L31" s="10"/>
      <c r="M31" s="10"/>
      <c r="N31" s="10"/>
      <c r="O31" s="10"/>
      <c r="P31" s="9"/>
      <c r="Q31" s="9"/>
      <c r="R31" s="9"/>
      <c r="S31" s="9"/>
      <c r="T31" s="9"/>
      <c r="U31" s="9"/>
      <c r="V31" s="19"/>
      <c r="W31" s="1">
        <f t="shared" si="29"/>
        <v>0</v>
      </c>
      <c r="X31" s="1">
        <f t="shared" si="30"/>
        <v>0</v>
      </c>
      <c r="Z31" s="32"/>
      <c r="AB31" s="32">
        <f>MOD($B16,7)+$E16</f>
        <v>4.125</v>
      </c>
    </row>
    <row r="32" spans="1:28" x14ac:dyDescent="0.25">
      <c r="B32" s="12"/>
      <c r="C32" s="19"/>
      <c r="D32" s="32"/>
      <c r="E32" s="15"/>
      <c r="F32" s="12"/>
      <c r="I32" s="15"/>
      <c r="J32" s="10"/>
      <c r="K32" s="11"/>
      <c r="L32" s="10"/>
      <c r="M32" s="10"/>
      <c r="N32" s="10"/>
      <c r="O32" s="10"/>
      <c r="P32" s="9"/>
      <c r="Q32" s="9"/>
      <c r="R32" s="9"/>
      <c r="S32" s="9"/>
      <c r="T32" s="9"/>
      <c r="U32" s="9"/>
      <c r="V32" s="19"/>
      <c r="W32" s="1">
        <f t="shared" si="29"/>
        <v>0</v>
      </c>
      <c r="X32" s="1">
        <f t="shared" si="30"/>
        <v>0</v>
      </c>
      <c r="Z32" s="32"/>
      <c r="AB32" s="32">
        <f t="shared" si="28"/>
        <v>4.25</v>
      </c>
    </row>
    <row r="33" spans="2:28" x14ac:dyDescent="0.25">
      <c r="B33" s="12"/>
      <c r="C33" s="19"/>
      <c r="D33" s="32"/>
      <c r="E33" s="15"/>
      <c r="F33" s="12"/>
      <c r="I33" s="15"/>
      <c r="J33" s="10"/>
      <c r="K33" s="11"/>
      <c r="L33" s="10"/>
      <c r="M33" s="10"/>
      <c r="N33" s="10"/>
      <c r="O33" s="10"/>
      <c r="P33" s="9"/>
      <c r="Q33" s="9"/>
      <c r="R33" s="9"/>
      <c r="S33" s="9"/>
      <c r="T33" s="9"/>
      <c r="U33" s="9"/>
      <c r="V33" s="19"/>
      <c r="W33" s="1">
        <f t="shared" si="29"/>
        <v>0</v>
      </c>
      <c r="X33" s="1">
        <f t="shared" si="30"/>
        <v>0</v>
      </c>
      <c r="Z33" s="32"/>
      <c r="AB33" s="32">
        <f t="shared" si="28"/>
        <v>5.4375</v>
      </c>
    </row>
    <row r="34" spans="2:28" x14ac:dyDescent="0.25">
      <c r="D34" s="32"/>
      <c r="V34" s="19"/>
      <c r="W34" s="1">
        <f t="shared" si="29"/>
        <v>0</v>
      </c>
      <c r="X34" s="1">
        <f t="shared" si="30"/>
        <v>0</v>
      </c>
      <c r="Z34" s="32"/>
      <c r="AB34" s="32">
        <f t="shared" si="28"/>
        <v>2.5</v>
      </c>
    </row>
    <row r="35" spans="2:28" x14ac:dyDescent="0.25">
      <c r="V35" s="19"/>
      <c r="W35" s="1">
        <f t="shared" si="29"/>
        <v>0</v>
      </c>
      <c r="X35" s="1">
        <f t="shared" si="30"/>
        <v>0</v>
      </c>
      <c r="Z35" s="32"/>
    </row>
    <row r="36" spans="2:28" x14ac:dyDescent="0.25">
      <c r="V36" s="19"/>
      <c r="W36" s="1">
        <f t="shared" si="29"/>
        <v>0</v>
      </c>
      <c r="X36" s="1">
        <f t="shared" si="30"/>
        <v>0</v>
      </c>
      <c r="Z36" s="32"/>
    </row>
    <row r="37" spans="2:28" x14ac:dyDescent="0.25">
      <c r="V37" s="19"/>
      <c r="W37" s="1">
        <f t="shared" si="29"/>
        <v>0</v>
      </c>
      <c r="X37" s="1">
        <f t="shared" si="30"/>
        <v>0</v>
      </c>
      <c r="Z37" s="32"/>
    </row>
    <row r="38" spans="2:28" x14ac:dyDescent="0.25">
      <c r="V38" s="19"/>
      <c r="W38" s="1">
        <f t="shared" ref="W38:W42" si="31">P38</f>
        <v>0</v>
      </c>
      <c r="X38" s="1">
        <f t="shared" ref="X38:X42" si="32">V38</f>
        <v>0</v>
      </c>
      <c r="Z38" s="32"/>
    </row>
    <row r="39" spans="2:28" x14ac:dyDescent="0.25">
      <c r="V39" s="19"/>
      <c r="W39" s="1">
        <f t="shared" si="31"/>
        <v>0</v>
      </c>
      <c r="X39" s="1">
        <f t="shared" si="32"/>
        <v>0</v>
      </c>
      <c r="Z39" s="32"/>
    </row>
    <row r="40" spans="2:28" x14ac:dyDescent="0.25">
      <c r="V40" s="19"/>
      <c r="W40" s="1">
        <f t="shared" si="31"/>
        <v>0</v>
      </c>
      <c r="X40" s="1">
        <f t="shared" si="32"/>
        <v>0</v>
      </c>
      <c r="Z40" s="32"/>
    </row>
    <row r="41" spans="2:28" x14ac:dyDescent="0.25">
      <c r="V41" s="19"/>
      <c r="W41" s="1">
        <f t="shared" si="31"/>
        <v>0</v>
      </c>
      <c r="X41" s="1">
        <f t="shared" si="32"/>
        <v>0</v>
      </c>
      <c r="Z41" s="32"/>
    </row>
    <row r="42" spans="2:28" x14ac:dyDescent="0.25">
      <c r="V42" s="19"/>
      <c r="W42" s="1">
        <f t="shared" si="31"/>
        <v>0</v>
      </c>
      <c r="X42" s="1">
        <f t="shared" si="32"/>
        <v>0</v>
      </c>
      <c r="Z42" s="32"/>
    </row>
    <row r="43" spans="2:28" x14ac:dyDescent="0.25">
      <c r="V43" s="19"/>
    </row>
  </sheetData>
  <phoneticPr fontId="5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Godziny!$A$2:$A$49</xm:f>
          </x14:formula1>
          <xm:sqref>E3:E33 I3:I33</xm:sqref>
        </x14:dataValidation>
        <x14:dataValidation type="list" allowBlank="1" showInputMessage="1" showErrorMessage="1" xr:uid="{047CDA82-37E1-43B1-8367-E3B89B602238}">
          <x14:formula1>
            <xm:f>Dni!$A$2:$A$31</xm:f>
          </x14:formula1>
          <xm:sqref>B3:B33 F3:F33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6C982-6673-DD4D-8471-DB0214985530}">
  <dimension ref="A2:I33"/>
  <sheetViews>
    <sheetView showGridLines="0" workbookViewId="0">
      <selection activeCell="P33" sqref="P33"/>
    </sheetView>
  </sheetViews>
  <sheetFormatPr defaultColWidth="11" defaultRowHeight="12.75" x14ac:dyDescent="0.2"/>
  <cols>
    <col min="1" max="2" width="11" style="22"/>
    <col min="3" max="4" width="13.25" style="22" bestFit="1" customWidth="1"/>
    <col min="5" max="5" width="7.75" style="22" bestFit="1" customWidth="1"/>
    <col min="6" max="6" width="8.25" style="22" bestFit="1" customWidth="1"/>
    <col min="7" max="8" width="8.875" style="22" bestFit="1" customWidth="1"/>
    <col min="9" max="9" width="8.875" style="22" customWidth="1"/>
    <col min="10" max="16384" width="11" style="22"/>
  </cols>
  <sheetData>
    <row r="2" spans="1:9" x14ac:dyDescent="0.2">
      <c r="C2" s="24" t="s">
        <v>42</v>
      </c>
      <c r="D2" s="24" t="s">
        <v>43</v>
      </c>
      <c r="E2" s="24" t="s">
        <v>44</v>
      </c>
      <c r="F2" s="24" t="s">
        <v>5</v>
      </c>
      <c r="G2" s="24" t="s">
        <v>45</v>
      </c>
      <c r="H2" s="24" t="s">
        <v>46</v>
      </c>
      <c r="I2" s="24"/>
    </row>
    <row r="3" spans="1:9" x14ac:dyDescent="0.2">
      <c r="A3" s="22" t="str">
        <f>IF(OR((Program!C3=5*AND(Program!E3&gt;=TIMEVALUE("17:00"))),Program!C3=6, Program!C3=7)*AND(OR(Program!G3=1*AND(Program!I3&lt;=TIMEVALUE("06:00")), Program!G3=6, Program!G3=7)), "H", "0")</f>
        <v>0</v>
      </c>
      <c r="C3" s="25">
        <v>1</v>
      </c>
      <c r="D3" s="25">
        <f>C3+1</f>
        <v>2</v>
      </c>
      <c r="E3" s="26" t="s">
        <v>0</v>
      </c>
      <c r="F3" s="27">
        <v>383</v>
      </c>
      <c r="G3" s="23">
        <f>C3</f>
        <v>1</v>
      </c>
      <c r="H3" s="23">
        <f>D3</f>
        <v>2</v>
      </c>
      <c r="I3" s="23"/>
    </row>
    <row r="4" spans="1:9" x14ac:dyDescent="0.2">
      <c r="A4" s="22" t="str">
        <f>IF(OR((Program!C4=5*AND(Program!E4&gt;=TIMEVALUE("17:00"))),Program!C4=6, Program!C4=7)*AND(OR(Program!G4=1*AND(Program!I4&lt;=TIMEVALUE("06:00")), Program!G4=6, Program!G4=7)), "H", "0")</f>
        <v>0</v>
      </c>
      <c r="C4" s="25">
        <f>D3</f>
        <v>2</v>
      </c>
      <c r="D4" s="25">
        <f>C4+6/24</f>
        <v>2.25</v>
      </c>
      <c r="E4" s="26" t="s">
        <v>0</v>
      </c>
      <c r="F4" s="27">
        <v>383</v>
      </c>
      <c r="G4" s="23">
        <f t="shared" ref="G4:G18" si="0">C4</f>
        <v>2</v>
      </c>
      <c r="H4" s="23">
        <f t="shared" ref="H4:H18" si="1">D4</f>
        <v>2.25</v>
      </c>
      <c r="I4" s="23"/>
    </row>
    <row r="5" spans="1:9" x14ac:dyDescent="0.2">
      <c r="A5" s="22" t="str">
        <f>IF(OR((Program!C5=5*AND(Program!E5&gt;=TIMEVALUE("17:00"))),Program!C5=6, Program!C5=7)*AND(OR(Program!G5=1*AND(Program!I5&lt;=TIMEVALUE("06:00")), Program!G5=6, Program!G5=7)), "H", "0")</f>
        <v>0</v>
      </c>
      <c r="C5" s="25">
        <f>D4</f>
        <v>2.25</v>
      </c>
      <c r="D5" s="25">
        <f>C5+11/24</f>
        <v>2.7083333333333335</v>
      </c>
      <c r="E5" s="28" t="s">
        <v>26</v>
      </c>
      <c r="F5" s="27">
        <v>239</v>
      </c>
      <c r="G5" s="23">
        <f t="shared" si="0"/>
        <v>2.25</v>
      </c>
      <c r="H5" s="23">
        <f t="shared" si="1"/>
        <v>2.7083333333333335</v>
      </c>
      <c r="I5" s="23"/>
    </row>
    <row r="6" spans="1:9" x14ac:dyDescent="0.2">
      <c r="A6" s="22" t="str">
        <f>IF(OR((Program!C6=5*AND(Program!E6&gt;=TIMEVALUE("17:00"))),Program!C6=6, Program!C6=7)*AND(OR(Program!G6=1*AND(Program!I6&lt;=TIMEVALUE("06:00")), Program!G6=6, Program!G6=7)), "H", "0")</f>
        <v>H</v>
      </c>
      <c r="C6" s="25">
        <f>D5</f>
        <v>2.7083333333333335</v>
      </c>
      <c r="D6" s="25">
        <f>C6+5/24</f>
        <v>2.916666666666667</v>
      </c>
      <c r="E6" s="29" t="s">
        <v>27</v>
      </c>
      <c r="F6" s="27">
        <v>287</v>
      </c>
      <c r="G6" s="23">
        <f t="shared" si="0"/>
        <v>2.7083333333333335</v>
      </c>
      <c r="H6" s="23">
        <f t="shared" si="1"/>
        <v>2.916666666666667</v>
      </c>
      <c r="I6" s="23"/>
    </row>
    <row r="7" spans="1:9" x14ac:dyDescent="0.2">
      <c r="A7" s="22" t="str">
        <f>IF(OR((Program!C7=5*AND(Program!E7&gt;=TIMEVALUE("17:00"))),Program!C7=6, Program!C7=7)*AND(OR(Program!G7=1*AND(Program!I7&lt;=TIMEVALUE("06:00")), Program!G7=6, Program!G7=7)), "H", "0")</f>
        <v>H</v>
      </c>
      <c r="C7" s="25">
        <f>D6</f>
        <v>2.916666666666667</v>
      </c>
      <c r="D7" s="25">
        <f>C7+8/24</f>
        <v>3.2500000000000004</v>
      </c>
      <c r="E7" s="30" t="s">
        <v>28</v>
      </c>
      <c r="F7" s="27">
        <v>306</v>
      </c>
      <c r="G7" s="23">
        <f t="shared" si="0"/>
        <v>2.916666666666667</v>
      </c>
      <c r="H7" s="23">
        <f t="shared" si="1"/>
        <v>3.2500000000000004</v>
      </c>
      <c r="I7" s="23"/>
    </row>
    <row r="8" spans="1:9" x14ac:dyDescent="0.2">
      <c r="A8" s="22" t="str">
        <f>IF(OR((Program!C8=5*AND(Program!E8&gt;=TIMEVALUE("17:00"))),Program!C8=6, Program!C8=7)*AND(OR(Program!G8=1*AND(Program!I8&lt;=TIMEVALUE("06:00")), Program!G8=6, Program!G8=7)), "H", "0")</f>
        <v>0</v>
      </c>
      <c r="C8" s="25">
        <f>D7</f>
        <v>3.2500000000000004</v>
      </c>
      <c r="D8" s="25">
        <f>C8+11/24</f>
        <v>3.7083333333333339</v>
      </c>
      <c r="E8" s="28" t="s">
        <v>26</v>
      </c>
      <c r="F8" s="27">
        <v>239</v>
      </c>
      <c r="G8" s="23">
        <f t="shared" si="0"/>
        <v>3.2500000000000004</v>
      </c>
      <c r="H8" s="23">
        <f t="shared" si="1"/>
        <v>3.7083333333333339</v>
      </c>
      <c r="I8" s="23"/>
    </row>
    <row r="9" spans="1:9" x14ac:dyDescent="0.2">
      <c r="A9" s="22" t="str">
        <f>IF(OR((Program!C9=5*AND(Program!E9&gt;=TIMEVALUE("17:00"))),Program!C9=6, Program!C9=7)*AND(OR(Program!G9=1*AND(Program!I9&lt;=TIMEVALUE("06:00")), Program!G9=6, Program!G9=7)), "H", "0")</f>
        <v>0</v>
      </c>
      <c r="C9" s="25">
        <f>D8</f>
        <v>3.7083333333333339</v>
      </c>
      <c r="D9" s="25">
        <f>C9+5/24</f>
        <v>3.9166666666666674</v>
      </c>
      <c r="E9" s="29" t="s">
        <v>27</v>
      </c>
      <c r="F9" s="27">
        <v>287</v>
      </c>
      <c r="G9" s="23">
        <f t="shared" si="0"/>
        <v>3.7083333333333339</v>
      </c>
      <c r="H9" s="23">
        <f t="shared" si="1"/>
        <v>3.9166666666666674</v>
      </c>
      <c r="I9" s="23"/>
    </row>
    <row r="10" spans="1:9" x14ac:dyDescent="0.2">
      <c r="A10" s="22" t="str">
        <f>IF(OR((Program!C10=5*AND(Program!E10&gt;=TIMEVALUE("17:00"))),Program!C10=6, Program!C10=7)*AND(OR(Program!G10=1*AND(Program!I10&lt;=TIMEVALUE("06:00")), Program!G10=6, Program!G10=7)), "H", "0")</f>
        <v>0</v>
      </c>
      <c r="C10" s="25">
        <f>D9</f>
        <v>3.9166666666666674</v>
      </c>
      <c r="D10" s="25">
        <f>C10+8/24</f>
        <v>4.2500000000000009</v>
      </c>
      <c r="E10" s="30" t="s">
        <v>28</v>
      </c>
      <c r="F10" s="27">
        <v>306</v>
      </c>
      <c r="G10" s="23">
        <f t="shared" si="0"/>
        <v>3.9166666666666674</v>
      </c>
      <c r="H10" s="23">
        <f t="shared" si="1"/>
        <v>4.2500000000000009</v>
      </c>
      <c r="I10" s="23"/>
    </row>
    <row r="11" spans="1:9" x14ac:dyDescent="0.2">
      <c r="A11" s="22" t="str">
        <f>IF(OR((Program!C11=5*AND(Program!E11&gt;=TIMEVALUE("17:00"))),Program!C11=6, Program!C11=7)*AND(OR(Program!G11=1*AND(Program!I11&lt;=TIMEVALUE("06:00")), Program!G11=6, Program!G11=7)), "H", "0")</f>
        <v>0</v>
      </c>
      <c r="C11" s="25">
        <f>D10</f>
        <v>4.2500000000000009</v>
      </c>
      <c r="D11" s="25">
        <f>C11+11/24</f>
        <v>4.7083333333333339</v>
      </c>
      <c r="E11" s="28" t="s">
        <v>26</v>
      </c>
      <c r="F11" s="27">
        <v>239</v>
      </c>
      <c r="G11" s="23">
        <f t="shared" si="0"/>
        <v>4.2500000000000009</v>
      </c>
      <c r="H11" s="23">
        <f t="shared" si="1"/>
        <v>4.7083333333333339</v>
      </c>
      <c r="I11" s="23"/>
    </row>
    <row r="12" spans="1:9" x14ac:dyDescent="0.2">
      <c r="A12" s="22" t="str">
        <f>IF(OR((Program!C12=5*AND(Program!E12&gt;=TIMEVALUE("17:00"))),Program!C12=6, Program!C12=7)*AND(OR(Program!G12=1*AND(Program!I12&lt;=TIMEVALUE("06:00")), Program!G12=6, Program!G12=7)), "H", "0")</f>
        <v>H</v>
      </c>
      <c r="C12" s="25">
        <f>D11</f>
        <v>4.7083333333333339</v>
      </c>
      <c r="D12" s="25">
        <f>C12+5/24</f>
        <v>4.916666666666667</v>
      </c>
      <c r="E12" s="29" t="s">
        <v>27</v>
      </c>
      <c r="F12" s="27">
        <v>287</v>
      </c>
      <c r="G12" s="23">
        <f t="shared" si="0"/>
        <v>4.7083333333333339</v>
      </c>
      <c r="H12" s="23">
        <f t="shared" si="1"/>
        <v>4.916666666666667</v>
      </c>
      <c r="I12" s="23"/>
    </row>
    <row r="13" spans="1:9" x14ac:dyDescent="0.2">
      <c r="A13" s="22" t="str">
        <f>IF(OR((Program!C13=5*AND(Program!E13&gt;=TIMEVALUE("17:00"))),Program!C13=6, Program!C13=7)*AND(OR(Program!G13=1*AND(Program!I13&lt;=TIMEVALUE("06:00")), Program!G13=6, Program!G13=7)), "H", "0")</f>
        <v>H</v>
      </c>
      <c r="C13" s="25">
        <f>D12</f>
        <v>4.916666666666667</v>
      </c>
      <c r="D13" s="25">
        <f>C13+8/24</f>
        <v>5.25</v>
      </c>
      <c r="E13" s="30" t="s">
        <v>28</v>
      </c>
      <c r="F13" s="27">
        <v>306</v>
      </c>
      <c r="G13" s="23">
        <f t="shared" si="0"/>
        <v>4.916666666666667</v>
      </c>
      <c r="H13" s="23">
        <f t="shared" si="1"/>
        <v>5.25</v>
      </c>
      <c r="I13" s="23"/>
    </row>
    <row r="14" spans="1:9" x14ac:dyDescent="0.2">
      <c r="A14" s="22" t="str">
        <f>IF(OR((Program!C14=5*AND(Program!E14&gt;=TIMEVALUE("17:00"))),Program!C14=6, Program!C14=7)*AND(OR(Program!G14=1*AND(Program!I14&lt;=TIMEVALUE("06:00")), Program!G14=6, Program!G14=7)), "H", "0")</f>
        <v>H</v>
      </c>
      <c r="C14" s="25">
        <f>D13</f>
        <v>5.25</v>
      </c>
      <c r="D14" s="25">
        <f>C14+11/24</f>
        <v>5.708333333333333</v>
      </c>
      <c r="E14" s="28" t="s">
        <v>26</v>
      </c>
      <c r="F14" s="27">
        <v>239</v>
      </c>
      <c r="G14" s="23">
        <f t="shared" si="0"/>
        <v>5.25</v>
      </c>
      <c r="H14" s="23">
        <f t="shared" si="1"/>
        <v>5.708333333333333</v>
      </c>
      <c r="I14" s="23"/>
    </row>
    <row r="15" spans="1:9" x14ac:dyDescent="0.2">
      <c r="A15" s="22" t="str">
        <f>IF(OR((Program!C15=5*AND(Program!E15&gt;=TIMEVALUE("17:00"))),Program!C15=6, Program!C15=7)*AND(OR(Program!G15=1*AND(Program!I15&lt;=TIMEVALUE("06:00")), Program!G15=6, Program!G15=7)), "H", "0")</f>
        <v>0</v>
      </c>
      <c r="C15" s="25">
        <f>D14</f>
        <v>5.708333333333333</v>
      </c>
      <c r="D15" s="25">
        <f>C15+5/24</f>
        <v>5.9166666666666661</v>
      </c>
      <c r="E15" s="29" t="s">
        <v>27</v>
      </c>
      <c r="F15" s="27">
        <v>287</v>
      </c>
      <c r="G15" s="23">
        <f t="shared" si="0"/>
        <v>5.708333333333333</v>
      </c>
      <c r="H15" s="23">
        <f t="shared" si="1"/>
        <v>5.9166666666666661</v>
      </c>
      <c r="I15" s="23"/>
    </row>
    <row r="16" spans="1:9" x14ac:dyDescent="0.2">
      <c r="A16" s="22" t="str">
        <f>IF(OR((Program!C16=5*AND(Program!E16&gt;=TIMEVALUE("17:00"))),Program!C16=6, Program!C16=7)*AND(OR(Program!G16=1*AND(Program!I16&lt;=TIMEVALUE("06:00")), Program!G16=6, Program!G16=7)), "H", "0")</f>
        <v>0</v>
      </c>
      <c r="C16" s="25">
        <f>D15</f>
        <v>5.9166666666666661</v>
      </c>
      <c r="D16" s="25">
        <f>C16+8/24</f>
        <v>6.2499999999999991</v>
      </c>
      <c r="E16" s="30" t="s">
        <v>28</v>
      </c>
      <c r="F16" s="27">
        <v>306</v>
      </c>
      <c r="G16" s="23">
        <f t="shared" si="0"/>
        <v>5.9166666666666661</v>
      </c>
      <c r="H16" s="23">
        <f t="shared" si="1"/>
        <v>6.2499999999999991</v>
      </c>
      <c r="I16" s="23"/>
    </row>
    <row r="17" spans="1:9" x14ac:dyDescent="0.2">
      <c r="A17" s="22" t="str">
        <f>IF(OR((Program!C17=5*AND(Program!E17&gt;=TIMEVALUE("17:00"))),Program!C17=6, Program!C17=7)*AND(OR(Program!G17=1*AND(Program!I17&lt;=TIMEVALUE("06:00")), Program!G17=6, Program!G17=7)), "H", "0")</f>
        <v>0</v>
      </c>
      <c r="C17" s="25">
        <f>D16</f>
        <v>6.2499999999999991</v>
      </c>
      <c r="D17" s="25">
        <f>C17+11/24</f>
        <v>6.7083333333333321</v>
      </c>
      <c r="E17" s="28" t="s">
        <v>26</v>
      </c>
      <c r="F17" s="27">
        <v>239</v>
      </c>
      <c r="G17" s="23">
        <f t="shared" si="0"/>
        <v>6.2499999999999991</v>
      </c>
      <c r="H17" s="23">
        <f t="shared" si="1"/>
        <v>6.7083333333333321</v>
      </c>
      <c r="I17" s="23"/>
    </row>
    <row r="18" spans="1:9" x14ac:dyDescent="0.2">
      <c r="A18" s="22" t="str">
        <f>IF(OR((Program!C18=5*AND(Program!E18&gt;=TIMEVALUE("17:00"))),Program!C18=6, Program!C18=7)*AND(OR(Program!G18=1*AND(Program!I18&lt;=TIMEVALUE("06:00")), Program!G18=6, Program!G18=7)), "H", "0")</f>
        <v>0</v>
      </c>
      <c r="C18" s="25">
        <f>D17</f>
        <v>6.7083333333333321</v>
      </c>
      <c r="D18" s="25">
        <f>C18+61/24</f>
        <v>9.2499999999999982</v>
      </c>
      <c r="E18" s="26" t="s">
        <v>0</v>
      </c>
      <c r="F18" s="27">
        <v>383</v>
      </c>
      <c r="G18" s="23">
        <f t="shared" si="0"/>
        <v>6.7083333333333321</v>
      </c>
      <c r="H18" s="23">
        <f t="shared" si="1"/>
        <v>9.2499999999999982</v>
      </c>
      <c r="I18" s="23"/>
    </row>
    <row r="19" spans="1:9" x14ac:dyDescent="0.2">
      <c r="A19" s="22" t="str">
        <f>IF(OR((Program!C19=5*AND(Program!E19&gt;=TIMEVALUE("17:00"))),Program!C19=6, Program!C19=7)*AND(OR(Program!G19=1*AND(Program!I19&lt;=TIMEVALUE("06:00")), Program!G19=6, Program!G19=7)), "H", "0")</f>
        <v>0</v>
      </c>
    </row>
    <row r="20" spans="1:9" x14ac:dyDescent="0.2">
      <c r="A20" s="22" t="str">
        <f>IF(OR((Program!C20=5*AND(Program!E20&gt;=TIMEVALUE("17:00"))),Program!C20=6, Program!C20=7)*AND(OR(Program!G20=1*AND(Program!I20&lt;=TIMEVALUE("06:00")), Program!G20=6, Program!G20=7)), "H", "0")</f>
        <v>0</v>
      </c>
    </row>
    <row r="21" spans="1:9" x14ac:dyDescent="0.2">
      <c r="A21" s="22" t="str">
        <f>IF(OR((Program!C21=5*AND(Program!E21&gt;=TIMEVALUE("17:00"))),Program!C21=6, Program!C21=7)*AND(OR(Program!G21=1*AND(Program!I21&lt;=TIMEVALUE("06:00")), Program!G21=6, Program!G21=7)), "H", "0")</f>
        <v>0</v>
      </c>
    </row>
    <row r="22" spans="1:9" x14ac:dyDescent="0.2">
      <c r="A22" s="22" t="str">
        <f>IF(OR((Program!C22=5*AND(Program!E22&gt;=TIMEVALUE("17:00"))),Program!C22=6, Program!C22=7)*AND(OR(Program!G22=1*AND(Program!I22&lt;=TIMEVALUE("06:00")), Program!G22=6, Program!G22=7)), "H", "0")</f>
        <v>0</v>
      </c>
    </row>
    <row r="23" spans="1:9" x14ac:dyDescent="0.2">
      <c r="A23" s="22" t="str">
        <f>IF(OR((Program!C23=5*AND(Program!E23&gt;=TIMEVALUE("17:00"))),Program!C23=6, Program!C23=7)*AND(OR(Program!G23=1*AND(Program!I23&lt;=TIMEVALUE("06:00")), Program!G23=6, Program!G23=7)), "H", "0")</f>
        <v>0</v>
      </c>
    </row>
    <row r="24" spans="1:9" x14ac:dyDescent="0.2">
      <c r="A24" s="22" t="str">
        <f>IF(OR((Program!C24=5*AND(Program!E24&gt;=TIMEVALUE("17:00"))),Program!C24=6, Program!C24=7)*AND(OR(Program!G24=1*AND(Program!I24&lt;=TIMEVALUE("06:00")), Program!G24=6, Program!G24=7)), "H", "0")</f>
        <v>0</v>
      </c>
    </row>
    <row r="25" spans="1:9" x14ac:dyDescent="0.2">
      <c r="A25" s="22" t="str">
        <f>IF(OR((Program!C25=5*AND(Program!E25&gt;=TIMEVALUE("17:00"))),Program!C25=6, Program!C25=7)*AND(OR(Program!G25=1*AND(Program!I25&lt;=TIMEVALUE("06:00")), Program!G25=6, Program!G25=7)), "H", "0")</f>
        <v>0</v>
      </c>
    </row>
    <row r="26" spans="1:9" x14ac:dyDescent="0.2">
      <c r="A26" s="22" t="str">
        <f>IF(OR((Program!C26=5*AND(Program!E26&gt;=TIMEVALUE("17:00"))),Program!C26=6, Program!C26=7)*AND(OR(Program!G26=1*AND(Program!I26&lt;=TIMEVALUE("06:00")), Program!G26=6, Program!G26=7)), "H", "0")</f>
        <v>0</v>
      </c>
    </row>
    <row r="27" spans="1:9" x14ac:dyDescent="0.2">
      <c r="A27" s="22" t="str">
        <f>IF(OR((Program!C27=5*AND(Program!E27&gt;=TIMEVALUE("17:00"))),Program!C27=6, Program!C27=7)*AND(OR(Program!G27=1*AND(Program!I27&lt;=TIMEVALUE("06:00")), Program!G27=6, Program!G27=7)), "H", "0")</f>
        <v>0</v>
      </c>
    </row>
    <row r="28" spans="1:9" x14ac:dyDescent="0.2">
      <c r="A28" s="22" t="str">
        <f>IF(OR((Program!C28=5*AND(Program!E28&gt;=TIMEVALUE("17:00"))),Program!C28=6, Program!C28=7)*AND(OR(Program!G28=1*AND(Program!I28&lt;=TIMEVALUE("06:00")), Program!G28=6, Program!G28=7)), "H", "0")</f>
        <v>0</v>
      </c>
    </row>
    <row r="29" spans="1:9" x14ac:dyDescent="0.2">
      <c r="A29" s="22" t="str">
        <f>IF(OR((Program!C29=5*AND(Program!E29&gt;=TIMEVALUE("17:00"))),Program!C29=6, Program!C29=7)*AND(OR(Program!G29=1*AND(Program!I29&lt;=TIMEVALUE("06:00")), Program!G29=6, Program!G29=7)), "H", "0")</f>
        <v>0</v>
      </c>
    </row>
    <row r="30" spans="1:9" x14ac:dyDescent="0.2">
      <c r="A30" s="22" t="str">
        <f>IF(OR((Program!C30=5*AND(Program!E30&gt;=TIMEVALUE("17:00"))),Program!C30=6, Program!C30=7)*AND(OR(Program!G30=1*AND(Program!I30&lt;=TIMEVALUE("06:00")), Program!G30=6, Program!G30=7)), "H", "0")</f>
        <v>0</v>
      </c>
    </row>
    <row r="31" spans="1:9" x14ac:dyDescent="0.2">
      <c r="A31" s="22" t="str">
        <f>IF(OR((Program!C31=5*AND(Program!E31&gt;=TIMEVALUE("17:00"))),Program!C31=6, Program!C31=7)*AND(OR(Program!G31=1*AND(Program!I31&lt;=TIMEVALUE("06:00")), Program!G31=6, Program!G31=7)), "H", "0")</f>
        <v>0</v>
      </c>
    </row>
    <row r="32" spans="1:9" x14ac:dyDescent="0.2">
      <c r="A32" s="22" t="str">
        <f>IF(OR((Program!C32=5*AND(Program!E32&gt;=TIMEVALUE("17:00"))),Program!C32=6, Program!C32=7)*AND(OR(Program!G32=1*AND(Program!I32&lt;=TIMEVALUE("06:00")), Program!G32=6, Program!G32=7)), "H", "0")</f>
        <v>0</v>
      </c>
    </row>
    <row r="33" spans="1:1" x14ac:dyDescent="0.2">
      <c r="A33" s="22" t="str">
        <f>IF(OR((Program!C33=5*AND(Program!E33&gt;=TIMEVALUE("17:00"))),Program!C33=6, Program!C33=7)*AND(OR(Program!G33=1*AND(Program!I33&lt;=TIMEVALUE("06:00")), Program!G33=6, Program!G33=7)), "H", "0")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07F61-EA89-41D2-8063-2BA3189BE8EE}">
  <dimension ref="A1:B31"/>
  <sheetViews>
    <sheetView topLeftCell="A4" workbookViewId="0">
      <selection activeCell="F8" sqref="F8"/>
    </sheetView>
  </sheetViews>
  <sheetFormatPr defaultColWidth="8.875" defaultRowHeight="15.75" x14ac:dyDescent="0.25"/>
  <cols>
    <col min="1" max="1" width="10.875" bestFit="1" customWidth="1"/>
  </cols>
  <sheetData>
    <row r="1" spans="1:2" x14ac:dyDescent="0.25">
      <c r="A1" t="s">
        <v>8</v>
      </c>
      <c r="B1" t="s">
        <v>9</v>
      </c>
    </row>
    <row r="2" spans="1:2" x14ac:dyDescent="0.25">
      <c r="A2" s="12">
        <v>44075</v>
      </c>
      <c r="B2" t="s">
        <v>10</v>
      </c>
    </row>
    <row r="3" spans="1:2" x14ac:dyDescent="0.25">
      <c r="A3" s="12">
        <v>44076</v>
      </c>
      <c r="B3" t="s">
        <v>11</v>
      </c>
    </row>
    <row r="4" spans="1:2" x14ac:dyDescent="0.25">
      <c r="A4" s="12">
        <v>44077</v>
      </c>
      <c r="B4" t="s">
        <v>12</v>
      </c>
    </row>
    <row r="5" spans="1:2" x14ac:dyDescent="0.25">
      <c r="A5" s="14">
        <v>44078</v>
      </c>
      <c r="B5" t="s">
        <v>13</v>
      </c>
    </row>
    <row r="6" spans="1:2" x14ac:dyDescent="0.25">
      <c r="A6" s="13">
        <v>44079</v>
      </c>
      <c r="B6" t="s">
        <v>14</v>
      </c>
    </row>
    <row r="7" spans="1:2" x14ac:dyDescent="0.25">
      <c r="A7" s="13">
        <v>44080</v>
      </c>
      <c r="B7" t="s">
        <v>15</v>
      </c>
    </row>
    <row r="8" spans="1:2" x14ac:dyDescent="0.25">
      <c r="A8" s="14">
        <v>44081</v>
      </c>
      <c r="B8" t="s">
        <v>16</v>
      </c>
    </row>
    <row r="9" spans="1:2" x14ac:dyDescent="0.25">
      <c r="A9" s="12">
        <v>44082</v>
      </c>
      <c r="B9" t="s">
        <v>10</v>
      </c>
    </row>
    <row r="10" spans="1:2" x14ac:dyDescent="0.25">
      <c r="A10" s="12">
        <v>44083</v>
      </c>
      <c r="B10" t="s">
        <v>11</v>
      </c>
    </row>
    <row r="11" spans="1:2" x14ac:dyDescent="0.25">
      <c r="A11" s="12">
        <v>44084</v>
      </c>
      <c r="B11" t="s">
        <v>12</v>
      </c>
    </row>
    <row r="12" spans="1:2" x14ac:dyDescent="0.25">
      <c r="A12" s="14">
        <v>44085</v>
      </c>
      <c r="B12" t="s">
        <v>13</v>
      </c>
    </row>
    <row r="13" spans="1:2" x14ac:dyDescent="0.25">
      <c r="A13" s="13">
        <v>44086</v>
      </c>
      <c r="B13" t="s">
        <v>14</v>
      </c>
    </row>
    <row r="14" spans="1:2" x14ac:dyDescent="0.25">
      <c r="A14" s="13">
        <v>44087</v>
      </c>
      <c r="B14" t="s">
        <v>15</v>
      </c>
    </row>
    <row r="15" spans="1:2" x14ac:dyDescent="0.25">
      <c r="A15" s="14">
        <v>44088</v>
      </c>
      <c r="B15" t="s">
        <v>16</v>
      </c>
    </row>
    <row r="16" spans="1:2" x14ac:dyDescent="0.25">
      <c r="A16" s="12">
        <v>44089</v>
      </c>
      <c r="B16" t="s">
        <v>10</v>
      </c>
    </row>
    <row r="17" spans="1:2" x14ac:dyDescent="0.25">
      <c r="A17" s="12">
        <v>44090</v>
      </c>
      <c r="B17" t="s">
        <v>11</v>
      </c>
    </row>
    <row r="18" spans="1:2" x14ac:dyDescent="0.25">
      <c r="A18" s="12">
        <v>44091</v>
      </c>
      <c r="B18" t="s">
        <v>12</v>
      </c>
    </row>
    <row r="19" spans="1:2" x14ac:dyDescent="0.25">
      <c r="A19" s="14">
        <v>44092</v>
      </c>
      <c r="B19" t="s">
        <v>13</v>
      </c>
    </row>
    <row r="20" spans="1:2" x14ac:dyDescent="0.25">
      <c r="A20" s="13">
        <v>44093</v>
      </c>
      <c r="B20" t="s">
        <v>14</v>
      </c>
    </row>
    <row r="21" spans="1:2" x14ac:dyDescent="0.25">
      <c r="A21" s="13">
        <v>44094</v>
      </c>
      <c r="B21" t="s">
        <v>15</v>
      </c>
    </row>
    <row r="22" spans="1:2" x14ac:dyDescent="0.25">
      <c r="A22" s="14">
        <v>44095</v>
      </c>
      <c r="B22" t="s">
        <v>16</v>
      </c>
    </row>
    <row r="23" spans="1:2" x14ac:dyDescent="0.25">
      <c r="A23" s="12">
        <v>44096</v>
      </c>
      <c r="B23" t="s">
        <v>10</v>
      </c>
    </row>
    <row r="24" spans="1:2" x14ac:dyDescent="0.25">
      <c r="A24" s="12">
        <v>44097</v>
      </c>
      <c r="B24" t="s">
        <v>11</v>
      </c>
    </row>
    <row r="25" spans="1:2" x14ac:dyDescent="0.25">
      <c r="A25" s="12">
        <v>44098</v>
      </c>
      <c r="B25" t="s">
        <v>12</v>
      </c>
    </row>
    <row r="26" spans="1:2" x14ac:dyDescent="0.25">
      <c r="A26" s="14">
        <v>44099</v>
      </c>
      <c r="B26" t="s">
        <v>13</v>
      </c>
    </row>
    <row r="27" spans="1:2" x14ac:dyDescent="0.25">
      <c r="A27" s="13">
        <v>44100</v>
      </c>
      <c r="B27" t="s">
        <v>14</v>
      </c>
    </row>
    <row r="28" spans="1:2" x14ac:dyDescent="0.25">
      <c r="A28" s="13">
        <v>44101</v>
      </c>
      <c r="B28" t="s">
        <v>15</v>
      </c>
    </row>
    <row r="29" spans="1:2" x14ac:dyDescent="0.25">
      <c r="A29" s="14">
        <v>44102</v>
      </c>
      <c r="B29" t="s">
        <v>16</v>
      </c>
    </row>
    <row r="30" spans="1:2" x14ac:dyDescent="0.25">
      <c r="A30" s="12">
        <v>44103</v>
      </c>
      <c r="B30" t="s">
        <v>10</v>
      </c>
    </row>
    <row r="31" spans="1:2" x14ac:dyDescent="0.25">
      <c r="A31" s="12">
        <v>44104</v>
      </c>
      <c r="B31" t="s">
        <v>11</v>
      </c>
    </row>
  </sheetData>
  <phoneticPr fontId="5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7" ma:contentTypeDescription="Create a new document." ma:contentTypeScope="" ma:versionID="d17e25369407f1be6d95764a881587a7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48f9992f6defefbc2039cb4defd51e5b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4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737A1B94-930D-459C-9CE1-9C81E78F27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4E8286F-9EED-42B5-8A15-CB768A15046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D830BD1-3699-4CC8-991A-29A1397AA3AA}">
  <ds:schemaRefs>
    <ds:schemaRef ds:uri="http://purl.org/dc/elements/1.1/"/>
    <ds:schemaRef ds:uri="http://purl.org/dc/dcmitype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sharepoint/v3"/>
    <ds:schemaRef ds:uri="http://www.w3.org/XML/1998/namespace"/>
    <ds:schemaRef ds:uri="http://schemas.microsoft.com/office/infopath/2007/PartnerControls"/>
    <ds:schemaRef ds:uri="b2f96050-2494-4256-984e-e729bda111f0"/>
    <ds:schemaRef ds:uri="a8621861-08f3-42d0-8628-08ee1100e2b2"/>
  </ds:schemaRefs>
</ds:datastoreItem>
</file>

<file path=customXml/itemProps4.xml><?xml version="1.0" encoding="utf-8"?>
<ds:datastoreItem xmlns:ds="http://schemas.openxmlformats.org/officeDocument/2006/customXml" ds:itemID="{3265EF5C-CFF8-4738-AF99-899A6ED16022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Godziny</vt:lpstr>
      <vt:lpstr>Program</vt:lpstr>
      <vt:lpstr>H</vt:lpstr>
      <vt:lpstr>Dni</vt:lpstr>
      <vt:lpstr>Rate</vt:lpstr>
      <vt:lpstr>ShiftEnd</vt:lpstr>
      <vt:lpstr>ShiftStart</vt:lpstr>
      <vt:lpstr>TE</vt:lpstr>
      <vt:lpstr>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SergeiStPete Private</cp:lastModifiedBy>
  <dcterms:created xsi:type="dcterms:W3CDTF">2020-09-08T18:50:19Z</dcterms:created>
  <dcterms:modified xsi:type="dcterms:W3CDTF">2020-09-12T20:13:33Z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