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on\Downloads\"/>
    </mc:Choice>
  </mc:AlternateContent>
  <xr:revisionPtr revIDLastSave="0" documentId="13_ncr:1_{000DC5C0-E3C0-4F4F-8E2C-9A3F54A0F4E4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גלמי רק (להעתיק ולהדביק)" sheetId="1" r:id="rId1"/>
    <sheet name="טבלת עלויות" sheetId="2" r:id="rId2"/>
    <sheet name="גיליון1" sheetId="6" r:id="rId3"/>
    <sheet name="טבלת מחשבון לצרכן" sheetId="4" r:id="rId4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3" i="1" l="1" a="1"/>
  <c r="K3" i="1" s="1"/>
  <c r="M43" i="1" l="1"/>
  <c r="M45" i="1"/>
  <c r="M44" i="1"/>
  <c r="Y5" i="6"/>
  <c r="L48" i="6"/>
  <c r="L47" i="6"/>
  <c r="V46" i="6"/>
  <c r="L46" i="6"/>
  <c r="V45" i="6"/>
  <c r="L45" i="6"/>
  <c r="T44" i="6"/>
  <c r="S44" i="6"/>
  <c r="R44" i="6"/>
  <c r="Q44" i="6"/>
  <c r="P44" i="6"/>
  <c r="T43" i="6"/>
  <c r="S43" i="6"/>
  <c r="R43" i="6"/>
  <c r="Q43" i="6"/>
  <c r="P43" i="6"/>
  <c r="T42" i="6"/>
  <c r="S42" i="6"/>
  <c r="R42" i="6"/>
  <c r="Q42" i="6"/>
  <c r="P42" i="6"/>
  <c r="T41" i="6"/>
  <c r="S41" i="6"/>
  <c r="R41" i="6"/>
  <c r="Q41" i="6"/>
  <c r="P41" i="6"/>
  <c r="T40" i="6"/>
  <c r="S40" i="6"/>
  <c r="R40" i="6"/>
  <c r="Q40" i="6"/>
  <c r="P40" i="6"/>
  <c r="T39" i="6"/>
  <c r="S39" i="6"/>
  <c r="R39" i="6"/>
  <c r="Q39" i="6"/>
  <c r="P39" i="6"/>
  <c r="T38" i="6"/>
  <c r="S38" i="6"/>
  <c r="R38" i="6"/>
  <c r="Q38" i="6"/>
  <c r="P38" i="6"/>
  <c r="T37" i="6"/>
  <c r="S37" i="6"/>
  <c r="R37" i="6"/>
  <c r="Q37" i="6"/>
  <c r="P37" i="6"/>
  <c r="T36" i="6"/>
  <c r="S36" i="6"/>
  <c r="R36" i="6"/>
  <c r="Q36" i="6"/>
  <c r="P36" i="6"/>
  <c r="T35" i="6"/>
  <c r="S35" i="6"/>
  <c r="R35" i="6"/>
  <c r="Q35" i="6"/>
  <c r="P35" i="6"/>
  <c r="T34" i="6"/>
  <c r="S34" i="6"/>
  <c r="R34" i="6"/>
  <c r="Q34" i="6"/>
  <c r="P34" i="6"/>
  <c r="T33" i="6"/>
  <c r="S33" i="6"/>
  <c r="R33" i="6"/>
  <c r="Q33" i="6"/>
  <c r="P33" i="6"/>
  <c r="T32" i="6"/>
  <c r="S32" i="6"/>
  <c r="R32" i="6"/>
  <c r="Q32" i="6"/>
  <c r="P32" i="6"/>
  <c r="T31" i="6"/>
  <c r="S31" i="6"/>
  <c r="R31" i="6"/>
  <c r="Q31" i="6"/>
  <c r="P31" i="6"/>
  <c r="T30" i="6"/>
  <c r="S30" i="6"/>
  <c r="R30" i="6"/>
  <c r="Q30" i="6"/>
  <c r="P30" i="6"/>
  <c r="T29" i="6"/>
  <c r="S29" i="6"/>
  <c r="R29" i="6"/>
  <c r="Q29" i="6"/>
  <c r="P29" i="6"/>
  <c r="T28" i="6"/>
  <c r="S28" i="6"/>
  <c r="R28" i="6"/>
  <c r="Q28" i="6"/>
  <c r="P28" i="6"/>
  <c r="T27" i="6"/>
  <c r="S27" i="6"/>
  <c r="R27" i="6"/>
  <c r="Q27" i="6"/>
  <c r="P27" i="6"/>
  <c r="T26" i="6"/>
  <c r="S26" i="6"/>
  <c r="R26" i="6"/>
  <c r="Q26" i="6"/>
  <c r="P26" i="6"/>
  <c r="T25" i="6"/>
  <c r="S25" i="6"/>
  <c r="R25" i="6"/>
  <c r="Q25" i="6"/>
  <c r="P25" i="6"/>
  <c r="T24" i="6"/>
  <c r="S24" i="6"/>
  <c r="R24" i="6"/>
  <c r="Q24" i="6"/>
  <c r="P24" i="6"/>
  <c r="T23" i="6"/>
  <c r="S23" i="6"/>
  <c r="R23" i="6"/>
  <c r="Q23" i="6"/>
  <c r="P23" i="6"/>
  <c r="T22" i="6"/>
  <c r="S22" i="6"/>
  <c r="R22" i="6"/>
  <c r="Q22" i="6"/>
  <c r="P22" i="6"/>
  <c r="T21" i="6"/>
  <c r="S21" i="6"/>
  <c r="R21" i="6"/>
  <c r="Q21" i="6"/>
  <c r="P21" i="6"/>
  <c r="T20" i="6"/>
  <c r="S20" i="6"/>
  <c r="R20" i="6"/>
  <c r="Q20" i="6"/>
  <c r="P20" i="6"/>
  <c r="T19" i="6"/>
  <c r="S19" i="6"/>
  <c r="R19" i="6"/>
  <c r="Q19" i="6"/>
  <c r="P19" i="6"/>
  <c r="T18" i="6"/>
  <c r="S18" i="6"/>
  <c r="R18" i="6"/>
  <c r="Q18" i="6"/>
  <c r="P18" i="6"/>
  <c r="T17" i="6"/>
  <c r="S17" i="6"/>
  <c r="R17" i="6"/>
  <c r="Q17" i="6"/>
  <c r="P17" i="6"/>
  <c r="T16" i="6"/>
  <c r="S16" i="6"/>
  <c r="R16" i="6"/>
  <c r="Q16" i="6"/>
  <c r="P16" i="6"/>
  <c r="T15" i="6"/>
  <c r="S15" i="6"/>
  <c r="R15" i="6"/>
  <c r="Q15" i="6"/>
  <c r="P15" i="6"/>
  <c r="T14" i="6"/>
  <c r="S14" i="6"/>
  <c r="R14" i="6"/>
  <c r="Q14" i="6"/>
  <c r="P14" i="6"/>
  <c r="T13" i="6"/>
  <c r="S13" i="6"/>
  <c r="R13" i="6"/>
  <c r="Q13" i="6"/>
  <c r="P13" i="6"/>
  <c r="T12" i="6"/>
  <c r="S12" i="6"/>
  <c r="R12" i="6"/>
  <c r="Q12" i="6"/>
  <c r="P12" i="6"/>
  <c r="T11" i="6"/>
  <c r="S11" i="6"/>
  <c r="R11" i="6"/>
  <c r="Q11" i="6"/>
  <c r="Y16" i="6" s="1"/>
  <c r="P11" i="6"/>
  <c r="T10" i="6"/>
  <c r="S10" i="6"/>
  <c r="R10" i="6"/>
  <c r="Q10" i="6"/>
  <c r="P10" i="6"/>
  <c r="AA11" i="6" s="1"/>
  <c r="T9" i="6"/>
  <c r="S9" i="6"/>
  <c r="R9" i="6"/>
  <c r="Q9" i="6"/>
  <c r="P9" i="6"/>
  <c r="T8" i="6"/>
  <c r="S8" i="6"/>
  <c r="R8" i="6"/>
  <c r="Q8" i="6"/>
  <c r="P8" i="6"/>
  <c r="T7" i="6"/>
  <c r="S7" i="6"/>
  <c r="R7" i="6"/>
  <c r="Q7" i="6"/>
  <c r="P7" i="6"/>
  <c r="T6" i="6"/>
  <c r="S6" i="6"/>
  <c r="R6" i="6"/>
  <c r="AC11" i="6" s="1"/>
  <c r="Q6" i="6"/>
  <c r="P6" i="6"/>
  <c r="T5" i="6"/>
  <c r="S5" i="6"/>
  <c r="R5" i="6"/>
  <c r="Q5" i="6"/>
  <c r="P5" i="6"/>
  <c r="T4" i="6"/>
  <c r="S4" i="6"/>
  <c r="R4" i="6"/>
  <c r="Q4" i="6"/>
  <c r="P4" i="6"/>
  <c r="T3" i="6"/>
  <c r="S3" i="6"/>
  <c r="R3" i="6"/>
  <c r="Q3" i="6"/>
  <c r="P3" i="6"/>
  <c r="T2" i="6"/>
  <c r="AA16" i="6" s="1"/>
  <c r="S2" i="6"/>
  <c r="AC16" i="6" s="1"/>
  <c r="R2" i="6"/>
  <c r="Q2" i="6"/>
  <c r="P2" i="6"/>
  <c r="I2" i="6" a="1"/>
  <c r="M35" i="6" s="1"/>
  <c r="V11" i="6" l="1"/>
  <c r="V22" i="6"/>
  <c r="V23" i="6"/>
  <c r="V27" i="6"/>
  <c r="L6" i="6"/>
  <c r="L12" i="6"/>
  <c r="V20" i="6"/>
  <c r="V21" i="6"/>
  <c r="L23" i="6"/>
  <c r="K24" i="6"/>
  <c r="V24" i="6"/>
  <c r="V17" i="6"/>
  <c r="V18" i="6"/>
  <c r="V19" i="6"/>
  <c r="K21" i="6"/>
  <c r="L22" i="6"/>
  <c r="O23" i="6"/>
  <c r="L24" i="6"/>
  <c r="K25" i="6"/>
  <c r="V25" i="6"/>
  <c r="L27" i="6"/>
  <c r="L28" i="6"/>
  <c r="K29" i="6"/>
  <c r="V29" i="6"/>
  <c r="L31" i="6"/>
  <c r="M32" i="6"/>
  <c r="M33" i="6"/>
  <c r="L13" i="6"/>
  <c r="L14" i="6"/>
  <c r="L15" i="6"/>
  <c r="L16" i="6"/>
  <c r="K17" i="6"/>
  <c r="K18" i="6"/>
  <c r="K19" i="6"/>
  <c r="L20" i="6"/>
  <c r="L21" i="6"/>
  <c r="O24" i="6"/>
  <c r="L25" i="6"/>
  <c r="L26" i="6"/>
  <c r="N28" i="6"/>
  <c r="L29" i="6"/>
  <c r="L30" i="6"/>
  <c r="V44" i="6"/>
  <c r="L17" i="6"/>
  <c r="L18" i="6"/>
  <c r="L19" i="6"/>
  <c r="O25" i="6"/>
  <c r="N29" i="6"/>
  <c r="V43" i="6"/>
  <c r="V40" i="6"/>
  <c r="V41" i="6"/>
  <c r="V42" i="6"/>
  <c r="K44" i="6"/>
  <c r="V7" i="6"/>
  <c r="V8" i="6"/>
  <c r="V9" i="6"/>
  <c r="L11" i="6"/>
  <c r="V36" i="6"/>
  <c r="V37" i="6"/>
  <c r="V38" i="6"/>
  <c r="V39" i="6"/>
  <c r="K41" i="6"/>
  <c r="K42" i="6"/>
  <c r="K43" i="6"/>
  <c r="V10" i="6"/>
  <c r="I2" i="6"/>
  <c r="V2" i="6"/>
  <c r="V3" i="6"/>
  <c r="V4" i="6"/>
  <c r="V5" i="6"/>
  <c r="K2" i="6"/>
  <c r="K3" i="6"/>
  <c r="K4" i="6"/>
  <c r="K5" i="6"/>
  <c r="V6" i="6"/>
  <c r="K8" i="6"/>
  <c r="K9" i="6"/>
  <c r="L10" i="6"/>
  <c r="V12" i="6"/>
  <c r="V13" i="6"/>
  <c r="V14" i="6"/>
  <c r="V15" i="6"/>
  <c r="V16" i="6"/>
  <c r="V34" i="6"/>
  <c r="V35" i="6"/>
  <c r="K37" i="6"/>
  <c r="K38" i="6"/>
  <c r="K39" i="6"/>
  <c r="M40" i="6"/>
  <c r="M41" i="6"/>
  <c r="M42" i="6"/>
  <c r="L2" i="6"/>
  <c r="L3" i="6"/>
  <c r="L4" i="6"/>
  <c r="L5" i="6"/>
  <c r="L7" i="6"/>
  <c r="L8" i="6"/>
  <c r="L9" i="6"/>
  <c r="K12" i="6"/>
  <c r="K13" i="6"/>
  <c r="K14" i="6"/>
  <c r="K15" i="6"/>
  <c r="K16" i="6"/>
  <c r="V31" i="6"/>
  <c r="V32" i="6"/>
  <c r="V33" i="6"/>
  <c r="K35" i="6"/>
  <c r="M36" i="6"/>
  <c r="M37" i="6"/>
  <c r="M38" i="6"/>
  <c r="M39" i="6"/>
  <c r="V26" i="6"/>
  <c r="K28" i="6"/>
  <c r="V28" i="6"/>
  <c r="V30" i="6"/>
  <c r="K32" i="6"/>
  <c r="K33" i="6"/>
  <c r="M34" i="6"/>
  <c r="U12" i="2"/>
  <c r="V44" i="2"/>
  <c r="V43" i="2"/>
  <c r="V42" i="2"/>
  <c r="U41" i="2"/>
  <c r="U39" i="2"/>
  <c r="V39" i="2"/>
  <c r="U38" i="2"/>
  <c r="U37" i="2"/>
  <c r="U36" i="2"/>
  <c r="U35" i="2"/>
  <c r="U32" i="2"/>
  <c r="U18" i="2"/>
  <c r="U17" i="2"/>
  <c r="U15" i="2"/>
  <c r="U14" i="2"/>
  <c r="U13" i="2"/>
  <c r="U11" i="2"/>
  <c r="U9" i="2"/>
  <c r="U7" i="2"/>
  <c r="U6" i="2"/>
  <c r="U5" i="2"/>
  <c r="U3" i="2"/>
  <c r="U31" i="2"/>
  <c r="U30" i="2"/>
  <c r="U27" i="2"/>
  <c r="U26" i="2"/>
  <c r="U21" i="2"/>
  <c r="U20" i="2"/>
  <c r="U19" i="2"/>
  <c r="U16" i="2"/>
  <c r="S12" i="2"/>
  <c r="U10" i="2"/>
  <c r="U8" i="2"/>
  <c r="U4" i="2"/>
  <c r="U45" i="2"/>
  <c r="U46" i="2"/>
  <c r="U47" i="2"/>
  <c r="U48" i="2"/>
  <c r="U2" i="2"/>
  <c r="V41" i="2"/>
  <c r="V38" i="2"/>
  <c r="V37" i="2"/>
  <c r="V36" i="2"/>
  <c r="V35" i="2"/>
  <c r="V32" i="2"/>
  <c r="V31" i="2"/>
  <c r="V30" i="2"/>
  <c r="O7" i="2"/>
  <c r="M7" i="2"/>
  <c r="N28" i="2"/>
  <c r="V27" i="2"/>
  <c r="V26" i="2"/>
  <c r="V21" i="2"/>
  <c r="V20" i="2"/>
  <c r="V19" i="2"/>
  <c r="V18" i="2"/>
  <c r="V17" i="2"/>
  <c r="V16" i="2"/>
  <c r="V15" i="2"/>
  <c r="V14" i="2"/>
  <c r="V13" i="2"/>
  <c r="V12" i="2"/>
  <c r="V11" i="2"/>
  <c r="V10" i="2"/>
  <c r="V9" i="2"/>
  <c r="V8" i="2"/>
  <c r="V7" i="2"/>
  <c r="V6" i="2"/>
  <c r="V5" i="2"/>
  <c r="V4" i="2"/>
  <c r="V3" i="2"/>
  <c r="V2" i="2"/>
  <c r="AA5" i="6" l="1"/>
  <c r="Y11" i="6"/>
  <c r="N49" i="1"/>
  <c r="N48" i="1"/>
  <c r="N47" i="1"/>
  <c r="N46" i="1"/>
  <c r="X46" i="1"/>
  <c r="X47" i="1"/>
  <c r="X33" i="1" l="1"/>
  <c r="X9" i="1"/>
  <c r="N22" i="1"/>
  <c r="X4" i="1"/>
  <c r="X32" i="1"/>
  <c r="N31" i="1"/>
  <c r="X39" i="1"/>
  <c r="X31" i="1"/>
  <c r="X23" i="1"/>
  <c r="X15" i="1"/>
  <c r="X7" i="1"/>
  <c r="N8" i="1"/>
  <c r="N16" i="1"/>
  <c r="N24" i="1"/>
  <c r="N32" i="1"/>
  <c r="X44" i="1"/>
  <c r="X28" i="1"/>
  <c r="X12" i="1"/>
  <c r="N19" i="1"/>
  <c r="X43" i="1"/>
  <c r="X27" i="1"/>
  <c r="N4" i="1"/>
  <c r="N28" i="1"/>
  <c r="X42" i="1"/>
  <c r="X26" i="1"/>
  <c r="X10" i="1"/>
  <c r="N21" i="1"/>
  <c r="X25" i="1"/>
  <c r="N14" i="1"/>
  <c r="X16" i="1"/>
  <c r="N23" i="1"/>
  <c r="X38" i="1"/>
  <c r="X30" i="1"/>
  <c r="X22" i="1"/>
  <c r="X14" i="1"/>
  <c r="X5" i="1"/>
  <c r="N9" i="1"/>
  <c r="N17" i="1"/>
  <c r="N25" i="1"/>
  <c r="X36" i="1"/>
  <c r="X20" i="1"/>
  <c r="N3" i="1"/>
  <c r="N11" i="1"/>
  <c r="N27" i="1"/>
  <c r="X35" i="1"/>
  <c r="X19" i="1"/>
  <c r="X11" i="1"/>
  <c r="N12" i="1"/>
  <c r="N20" i="1"/>
  <c r="M3" i="1"/>
  <c r="X34" i="1"/>
  <c r="X18" i="1"/>
  <c r="N5" i="1"/>
  <c r="N29" i="1"/>
  <c r="X41" i="1"/>
  <c r="X17" i="1"/>
  <c r="N6" i="1"/>
  <c r="N30" i="1"/>
  <c r="X40" i="1"/>
  <c r="X24" i="1"/>
  <c r="N7" i="1"/>
  <c r="N15" i="1"/>
  <c r="X45" i="1"/>
  <c r="X37" i="1"/>
  <c r="X29" i="1"/>
  <c r="X21" i="1"/>
  <c r="X6" i="1"/>
  <c r="N10" i="1"/>
  <c r="N18" i="1"/>
  <c r="N26" i="1"/>
  <c r="X3" i="1"/>
  <c r="R45" i="1"/>
  <c r="R44" i="1"/>
  <c r="AA6" i="1" l="1"/>
  <c r="M33" i="1"/>
  <c r="M18" i="1"/>
  <c r="M6" i="1"/>
  <c r="M30" i="1"/>
  <c r="M17" i="1"/>
  <c r="M5" i="1"/>
  <c r="M42" i="1"/>
  <c r="M29" i="1"/>
  <c r="M16" i="1"/>
  <c r="M4" i="1"/>
  <c r="AA12" i="1" s="1"/>
  <c r="M40" i="1"/>
  <c r="M26" i="1"/>
  <c r="M15" i="1"/>
  <c r="M39" i="1"/>
  <c r="M25" i="1"/>
  <c r="M14" i="1"/>
  <c r="M38" i="1"/>
  <c r="M22" i="1"/>
  <c r="M36" i="1"/>
  <c r="M20" i="1"/>
  <c r="M10" i="1"/>
  <c r="M34" i="1"/>
  <c r="M19" i="1"/>
  <c r="M9" i="1"/>
  <c r="S3" i="1"/>
  <c r="T3" i="1"/>
  <c r="U3" i="1"/>
  <c r="V3" i="1"/>
  <c r="V4" i="1"/>
  <c r="V5" i="1"/>
  <c r="V6" i="1"/>
  <c r="V7" i="1"/>
  <c r="V8" i="1"/>
  <c r="V9" i="1"/>
  <c r="V10" i="1"/>
  <c r="V11" i="1"/>
  <c r="V12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U4" i="1"/>
  <c r="U5" i="1"/>
  <c r="U6" i="1"/>
  <c r="U7" i="1"/>
  <c r="U8" i="1"/>
  <c r="U9" i="1"/>
  <c r="U10" i="1"/>
  <c r="U11" i="1"/>
  <c r="U12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R3" i="1"/>
  <c r="T4" i="1"/>
  <c r="T5" i="1"/>
  <c r="T6" i="1"/>
  <c r="T7" i="1"/>
  <c r="T8" i="1"/>
  <c r="T9" i="1"/>
  <c r="T10" i="1"/>
  <c r="T11" i="1"/>
  <c r="T12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S4" i="1"/>
  <c r="S5" i="1"/>
  <c r="S6" i="1"/>
  <c r="S7" i="1"/>
  <c r="S8" i="1"/>
  <c r="S9" i="1"/>
  <c r="S10" i="1"/>
  <c r="S11" i="1"/>
  <c r="S12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R4" i="1"/>
  <c r="R5" i="1"/>
  <c r="R6" i="1"/>
  <c r="R7" i="1"/>
  <c r="R8" i="1"/>
  <c r="R9" i="1"/>
  <c r="R10" i="1"/>
  <c r="R11" i="1"/>
  <c r="R12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M2" i="2"/>
  <c r="AC12" i="1" l="1"/>
  <c r="AC17" i="1"/>
  <c r="AE17" i="1"/>
  <c r="AE12" i="1"/>
  <c r="AA17" i="1"/>
  <c r="Q24" i="1"/>
  <c r="Q25" i="1"/>
  <c r="O38" i="1"/>
  <c r="O33" i="1"/>
  <c r="Q26" i="1"/>
  <c r="O39" i="1"/>
  <c r="P30" i="1"/>
  <c r="O40" i="1"/>
  <c r="P29" i="1"/>
  <c r="O41" i="1"/>
  <c r="O35" i="1"/>
  <c r="O43" i="1"/>
  <c r="O34" i="1"/>
  <c r="O42" i="1"/>
  <c r="O37" i="1"/>
  <c r="O36" i="1"/>
  <c r="Q48" i="2"/>
  <c r="Q47" i="2"/>
  <c r="Q46" i="2"/>
  <c r="Q45" i="2"/>
  <c r="M44" i="2"/>
  <c r="M43" i="2"/>
  <c r="M42" i="2"/>
  <c r="M41" i="2"/>
  <c r="M40" i="2"/>
  <c r="M39" i="2"/>
  <c r="M38" i="2"/>
  <c r="M37" i="2"/>
  <c r="M36" i="2"/>
  <c r="M35" i="2"/>
  <c r="M34" i="2"/>
  <c r="M33" i="2"/>
  <c r="M32" i="2"/>
  <c r="M31" i="2"/>
  <c r="M30" i="2"/>
  <c r="M29" i="2"/>
  <c r="M28" i="2"/>
  <c r="M27" i="2"/>
  <c r="M26" i="2"/>
  <c r="M25" i="2"/>
  <c r="M24" i="2"/>
  <c r="M23" i="2"/>
  <c r="M22" i="2"/>
  <c r="M21" i="2"/>
  <c r="M20" i="2"/>
  <c r="M19" i="2"/>
  <c r="M18" i="2"/>
  <c r="M17" i="2"/>
  <c r="M16" i="2"/>
  <c r="M15" i="2"/>
  <c r="M14" i="2"/>
  <c r="M13" i="2"/>
  <c r="M12" i="2"/>
  <c r="M11" i="2"/>
  <c r="M10" i="2"/>
  <c r="M9" i="2"/>
  <c r="M8" i="2"/>
  <c r="M6" i="2"/>
  <c r="M5" i="2"/>
  <c r="M4" i="2"/>
  <c r="M3" i="2"/>
  <c r="AC6" i="1" l="1"/>
  <c r="S2" i="2"/>
  <c r="O2" i="2"/>
  <c r="N2" i="2"/>
  <c r="S4" i="2"/>
  <c r="S5" i="2"/>
  <c r="S8" i="2"/>
  <c r="S9" i="2"/>
  <c r="S13" i="2"/>
  <c r="S14" i="2"/>
  <c r="S15" i="2"/>
  <c r="S16" i="2"/>
  <c r="S17" i="2"/>
  <c r="S18" i="2"/>
  <c r="S19" i="2"/>
  <c r="S21" i="2"/>
  <c r="S24" i="2"/>
  <c r="S25" i="2"/>
  <c r="S28" i="2"/>
  <c r="Q28" i="2"/>
  <c r="S29" i="2"/>
  <c r="Q29" i="2"/>
  <c r="S32" i="2"/>
  <c r="S33" i="2"/>
  <c r="S35" i="2"/>
  <c r="S37" i="2"/>
  <c r="S38" i="2"/>
  <c r="S39" i="2"/>
  <c r="S41" i="2"/>
  <c r="S42" i="2"/>
  <c r="N3" i="2"/>
  <c r="S3" i="2"/>
  <c r="O3" i="2"/>
  <c r="O4" i="2"/>
  <c r="N4" i="2"/>
  <c r="O5" i="2"/>
  <c r="N5" i="2"/>
  <c r="T5" i="2" s="1"/>
  <c r="O6" i="2"/>
  <c r="T6" i="2" s="1"/>
  <c r="T7" i="2"/>
  <c r="X8" i="1" s="1"/>
  <c r="O8" i="2"/>
  <c r="N8" i="2"/>
  <c r="O9" i="2"/>
  <c r="N9" i="2"/>
  <c r="O10" i="2"/>
  <c r="T10" i="2" s="1"/>
  <c r="O11" i="2"/>
  <c r="T11" i="2" s="1"/>
  <c r="O12" i="2"/>
  <c r="N12" i="2"/>
  <c r="O13" i="2"/>
  <c r="N13" i="2"/>
  <c r="O14" i="2"/>
  <c r="N14" i="2"/>
  <c r="O15" i="2"/>
  <c r="N15" i="2"/>
  <c r="T15" i="2" s="1"/>
  <c r="O16" i="2"/>
  <c r="N16" i="2"/>
  <c r="O17" i="2"/>
  <c r="N17" i="2"/>
  <c r="O18" i="2"/>
  <c r="N18" i="2"/>
  <c r="O19" i="2"/>
  <c r="N19" i="2"/>
  <c r="O20" i="2"/>
  <c r="T20" i="2" s="1"/>
  <c r="O21" i="2"/>
  <c r="N21" i="2"/>
  <c r="O22" i="2"/>
  <c r="T22" i="2" s="1"/>
  <c r="R23" i="2"/>
  <c r="O23" i="2"/>
  <c r="R24" i="2"/>
  <c r="O24" i="2"/>
  <c r="N24" i="2"/>
  <c r="R25" i="2"/>
  <c r="O25" i="2"/>
  <c r="N25" i="2"/>
  <c r="O26" i="2"/>
  <c r="T26" i="2" s="1"/>
  <c r="O27" i="2"/>
  <c r="T27" i="2" s="1"/>
  <c r="O28" i="2"/>
  <c r="T28" i="2"/>
  <c r="O29" i="2"/>
  <c r="N29" i="2"/>
  <c r="O30" i="2"/>
  <c r="T30" i="2" s="1"/>
  <c r="O31" i="2"/>
  <c r="T31" i="2" s="1"/>
  <c r="P32" i="2"/>
  <c r="N32" i="2"/>
  <c r="P33" i="2"/>
  <c r="N33" i="2"/>
  <c r="T33" i="2" s="1"/>
  <c r="P34" i="2"/>
  <c r="N34" i="2"/>
  <c r="P35" i="2"/>
  <c r="N35" i="2"/>
  <c r="P36" i="2"/>
  <c r="N36" i="2"/>
  <c r="P37" i="2"/>
  <c r="N37" i="2"/>
  <c r="T37" i="2" s="1"/>
  <c r="P38" i="2"/>
  <c r="N38" i="2"/>
  <c r="P39" i="2"/>
  <c r="N39" i="2"/>
  <c r="P40" i="2"/>
  <c r="P41" i="2"/>
  <c r="N41" i="2"/>
  <c r="P42" i="2"/>
  <c r="N42" i="2"/>
  <c r="S43" i="2"/>
  <c r="P43" i="2"/>
  <c r="N43" i="2"/>
  <c r="S44" i="2"/>
  <c r="P44" i="2"/>
  <c r="N44" i="2"/>
  <c r="W45" i="2"/>
  <c r="S45" i="2"/>
  <c r="R45" i="2"/>
  <c r="W46" i="2"/>
  <c r="S46" i="2"/>
  <c r="R46" i="2"/>
  <c r="W47" i="2"/>
  <c r="S47" i="2"/>
  <c r="R47" i="2"/>
  <c r="X47" i="2" s="1"/>
  <c r="W48" i="2"/>
  <c r="S48" i="2"/>
  <c r="R48" i="2"/>
  <c r="T38" i="2" l="1"/>
  <c r="T34" i="2"/>
  <c r="X45" i="2"/>
  <c r="T29" i="2"/>
  <c r="T16" i="2"/>
  <c r="T12" i="2"/>
  <c r="T42" i="2"/>
  <c r="T24" i="2"/>
  <c r="X46" i="2"/>
  <c r="T39" i="2"/>
  <c r="T35" i="2"/>
  <c r="T13" i="2"/>
  <c r="T43" i="2"/>
  <c r="T8" i="2"/>
  <c r="X48" i="2"/>
  <c r="T21" i="2"/>
  <c r="T44" i="2"/>
  <c r="T41" i="2"/>
  <c r="T36" i="2"/>
  <c r="T32" i="2"/>
  <c r="T23" i="2"/>
  <c r="T18" i="2"/>
  <c r="T14" i="2"/>
  <c r="T9" i="2"/>
  <c r="T4" i="2"/>
  <c r="T2" i="2"/>
  <c r="T19" i="2"/>
  <c r="T25" i="2"/>
  <c r="T17" i="2"/>
  <c r="T3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<sst xmlns="http://schemas.openxmlformats.org/spreadsheetml/2006/main" count="702" uniqueCount="304">
  <si>
    <t>קוד מוצר</t>
  </si>
  <si>
    <t>שם המוצר</t>
  </si>
  <si>
    <t>כמות המוצר</t>
  </si>
  <si>
    <t>כמות החומר 
שנגמר</t>
  </si>
  <si>
    <t>ווים סגורים</t>
  </si>
  <si>
    <t>הוקים</t>
  </si>
  <si>
    <t>צינור אלומיניום 30*2</t>
  </si>
  <si>
    <t>צינור אלומיניום 40*4</t>
  </si>
  <si>
    <t>כמות הצבע
 שנגמר</t>
  </si>
  <si>
    <t>רווח ברוטו</t>
  </si>
  <si>
    <t>רווח נקי</t>
  </si>
  <si>
    <t>* אין כמויות</t>
  </si>
  <si>
    <t>כדור קטן יחיד</t>
  </si>
  <si>
    <t>זוג כדורים קטן</t>
  </si>
  <si>
    <t>כדור בינוני יחיד</t>
  </si>
  <si>
    <t>זוג כדורים בינוני</t>
  </si>
  <si>
    <t>כדור גדול יחיד</t>
  </si>
  <si>
    <t>זוג כדורים גדולים</t>
  </si>
  <si>
    <t>כמות ווים סגורים
 ביחידות שהוזמנו</t>
  </si>
  <si>
    <t>כמות  הוקים 
ביחידות שהוזמנו</t>
  </si>
  <si>
    <t>נר קטן יחיד</t>
  </si>
  <si>
    <t>זוג נרות קטן</t>
  </si>
  <si>
    <t>כמות שנשאר</t>
  </si>
  <si>
    <t>נר גדול</t>
  </si>
  <si>
    <t>זוג נרות גדול</t>
  </si>
  <si>
    <t>נר ענק</t>
  </si>
  <si>
    <t>קונוס יחיד</t>
  </si>
  <si>
    <t>צינור אלומיניום
30*2</t>
  </si>
  <si>
    <t>צינור אלומיניום
 40*4</t>
  </si>
  <si>
    <t>זוג קונוסים</t>
  </si>
  <si>
    <t>בננה יחיד</t>
  </si>
  <si>
    <t>גלידה יחיד</t>
  </si>
  <si>
    <t>זוג גלידות</t>
  </si>
  <si>
    <t>דאבל פינגר</t>
  </si>
  <si>
    <t>פינגר ליין</t>
  </si>
  <si>
    <t>דאבל פינגר מיקס</t>
  </si>
  <si>
    <t>אחיזת T קטנה יחיד</t>
  </si>
  <si>
    <t>אחיזת T גדולה יחיד</t>
  </si>
  <si>
    <t>כדור פג</t>
  </si>
  <si>
    <t>פלוס אולטרה בול</t>
  </si>
  <si>
    <t>פג גרספר</t>
  </si>
  <si>
    <t>צלחת מעופפת</t>
  </si>
  <si>
    <t>כדור תותח</t>
  </si>
  <si>
    <t>פאט פג יחיד</t>
  </si>
  <si>
    <t>פג כדור יחיד</t>
  </si>
  <si>
    <t>אחיזת באולינג</t>
  </si>
  <si>
    <t>אחיזת גולגולת
 גדולה</t>
  </si>
  <si>
    <t>זוג כדורי הוק קטנים</t>
  </si>
  <si>
    <t>זוג כדורי הוק 
בינוניים</t>
  </si>
  <si>
    <t>זוג כדורי 
הוק גדולים</t>
  </si>
  <si>
    <t>זוג נרות הוק קטנים</t>
  </si>
  <si>
    <t>זוג נרות הוק גדולים</t>
  </si>
  <si>
    <t>זוג קונוסים הוק</t>
  </si>
  <si>
    <t>זוג בננות הוק</t>
  </si>
  <si>
    <t>זוג T הוק</t>
  </si>
  <si>
    <t>זוג T הוק גדול</t>
  </si>
  <si>
    <t>זוג גלידות הוק</t>
  </si>
  <si>
    <t>רצועה אחת</t>
  </si>
  <si>
    <t>רצועה עם
 טבעת מתכת</t>
  </si>
  <si>
    <t>טבעת מתכת</t>
  </si>
  <si>
    <t>עלויות</t>
  </si>
  <si>
    <t xml:space="preserve"> קילו פוליאוריטן
 מחיר</t>
  </si>
  <si>
    <t>ווים סגורים 
ליחידה</t>
  </si>
  <si>
    <t>הוקים  ליחידה</t>
  </si>
  <si>
    <t>צינור אלומיניום 30*2 ל6 מטר</t>
  </si>
  <si>
    <t>צינור אלומיניום 4*40 ל6 מטר</t>
  </si>
  <si>
    <t>קילו צבע</t>
  </si>
  <si>
    <t>מחיר ליחידה</t>
  </si>
  <si>
    <t>צבע אדום א</t>
  </si>
  <si>
    <t>צבע ירוק י</t>
  </si>
  <si>
    <t>צבע צהוב צ</t>
  </si>
  <si>
    <t xml:space="preserve">צבע שחור ש </t>
  </si>
  <si>
    <t>צבע כחול כ</t>
  </si>
  <si>
    <t>1א</t>
  </si>
  <si>
    <t>2א</t>
  </si>
  <si>
    <t>3א</t>
  </si>
  <si>
    <t>4א</t>
  </si>
  <si>
    <t>5א</t>
  </si>
  <si>
    <t>6א</t>
  </si>
  <si>
    <t>7א</t>
  </si>
  <si>
    <t>8א</t>
  </si>
  <si>
    <t>9א</t>
  </si>
  <si>
    <t>10א</t>
  </si>
  <si>
    <t>11א</t>
  </si>
  <si>
    <t>12א</t>
  </si>
  <si>
    <t>13א</t>
  </si>
  <si>
    <t>14א</t>
  </si>
  <si>
    <t>15א</t>
  </si>
  <si>
    <t>16א</t>
  </si>
  <si>
    <t>17א</t>
  </si>
  <si>
    <t>18א</t>
  </si>
  <si>
    <t>19א</t>
  </si>
  <si>
    <t>20א</t>
  </si>
  <si>
    <t>21א</t>
  </si>
  <si>
    <t>22א</t>
  </si>
  <si>
    <t>23א</t>
  </si>
  <si>
    <t>24א</t>
  </si>
  <si>
    <t>25א</t>
  </si>
  <si>
    <t>26א</t>
  </si>
  <si>
    <t>27א</t>
  </si>
  <si>
    <t>28א</t>
  </si>
  <si>
    <t>29א</t>
  </si>
  <si>
    <t>30א</t>
  </si>
  <si>
    <t>31א</t>
  </si>
  <si>
    <t>32א</t>
  </si>
  <si>
    <t>33א</t>
  </si>
  <si>
    <t>34א</t>
  </si>
  <si>
    <t>35א</t>
  </si>
  <si>
    <t>36א</t>
  </si>
  <si>
    <t>37א</t>
  </si>
  <si>
    <t>38א</t>
  </si>
  <si>
    <t>39א</t>
  </si>
  <si>
    <t>40א</t>
  </si>
  <si>
    <t>41א</t>
  </si>
  <si>
    <t>42א</t>
  </si>
  <si>
    <t>43א</t>
  </si>
  <si>
    <t>1י</t>
  </si>
  <si>
    <t>2י</t>
  </si>
  <si>
    <t>3י</t>
  </si>
  <si>
    <t>4י</t>
  </si>
  <si>
    <t>5י</t>
  </si>
  <si>
    <t>6י</t>
  </si>
  <si>
    <t>7י</t>
  </si>
  <si>
    <t>8י</t>
  </si>
  <si>
    <t>9י</t>
  </si>
  <si>
    <t>10י</t>
  </si>
  <si>
    <t>11י</t>
  </si>
  <si>
    <t>12י</t>
  </si>
  <si>
    <t>13י</t>
  </si>
  <si>
    <t>14י</t>
  </si>
  <si>
    <t>15י</t>
  </si>
  <si>
    <t>16י</t>
  </si>
  <si>
    <t>17י</t>
  </si>
  <si>
    <t>18י</t>
  </si>
  <si>
    <t>19י</t>
  </si>
  <si>
    <t>20י</t>
  </si>
  <si>
    <t>21י</t>
  </si>
  <si>
    <t>22י</t>
  </si>
  <si>
    <t>23י</t>
  </si>
  <si>
    <t>24י</t>
  </si>
  <si>
    <t>25י</t>
  </si>
  <si>
    <t>26י</t>
  </si>
  <si>
    <t>27י</t>
  </si>
  <si>
    <t>28י</t>
  </si>
  <si>
    <t>29י</t>
  </si>
  <si>
    <t>30י</t>
  </si>
  <si>
    <t>31י</t>
  </si>
  <si>
    <t>32י</t>
  </si>
  <si>
    <t>33י</t>
  </si>
  <si>
    <t>34י</t>
  </si>
  <si>
    <t>35י</t>
  </si>
  <si>
    <t>36י</t>
  </si>
  <si>
    <t>37י</t>
  </si>
  <si>
    <t>38י</t>
  </si>
  <si>
    <t>39י</t>
  </si>
  <si>
    <t>40י</t>
  </si>
  <si>
    <t>41י</t>
  </si>
  <si>
    <t>42י</t>
  </si>
  <si>
    <t>43י</t>
  </si>
  <si>
    <t>1צ</t>
  </si>
  <si>
    <t>2צ</t>
  </si>
  <si>
    <t>3צ</t>
  </si>
  <si>
    <t>4צ</t>
  </si>
  <si>
    <t>5צ</t>
  </si>
  <si>
    <t>6צ</t>
  </si>
  <si>
    <t>7צ</t>
  </si>
  <si>
    <t>8צ</t>
  </si>
  <si>
    <t>9צ</t>
  </si>
  <si>
    <t>10צ</t>
  </si>
  <si>
    <t>11צ</t>
  </si>
  <si>
    <t>12צ</t>
  </si>
  <si>
    <t>13צ</t>
  </si>
  <si>
    <t>14צ</t>
  </si>
  <si>
    <t>15צ</t>
  </si>
  <si>
    <t>16צ</t>
  </si>
  <si>
    <t>17צ</t>
  </si>
  <si>
    <t>18צ</t>
  </si>
  <si>
    <t>19צ</t>
  </si>
  <si>
    <t>20צ</t>
  </si>
  <si>
    <t>21צ</t>
  </si>
  <si>
    <t>22צ</t>
  </si>
  <si>
    <t>23צ</t>
  </si>
  <si>
    <t>24צ</t>
  </si>
  <si>
    <t>25צ</t>
  </si>
  <si>
    <t>26צ</t>
  </si>
  <si>
    <t>27צ</t>
  </si>
  <si>
    <t>28צ</t>
  </si>
  <si>
    <t>29צ</t>
  </si>
  <si>
    <t>30צ</t>
  </si>
  <si>
    <t>31צ</t>
  </si>
  <si>
    <t>32צ</t>
  </si>
  <si>
    <t>33צ</t>
  </si>
  <si>
    <t>34צ</t>
  </si>
  <si>
    <t>35צ</t>
  </si>
  <si>
    <t>36צ</t>
  </si>
  <si>
    <t>37צ</t>
  </si>
  <si>
    <t>38צ</t>
  </si>
  <si>
    <t>39צ</t>
  </si>
  <si>
    <t>40צ</t>
  </si>
  <si>
    <t>41צ</t>
  </si>
  <si>
    <t>42צ</t>
  </si>
  <si>
    <t>43צ</t>
  </si>
  <si>
    <t>1ש</t>
  </si>
  <si>
    <t>2ש</t>
  </si>
  <si>
    <t>3ש</t>
  </si>
  <si>
    <t>4ש</t>
  </si>
  <si>
    <t>5ש</t>
  </si>
  <si>
    <t>6ש</t>
  </si>
  <si>
    <t>7ש</t>
  </si>
  <si>
    <t>8ש</t>
  </si>
  <si>
    <t>9ש</t>
  </si>
  <si>
    <t>10ש</t>
  </si>
  <si>
    <t>11ש</t>
  </si>
  <si>
    <t>12ש</t>
  </si>
  <si>
    <t>13ש</t>
  </si>
  <si>
    <t>14ש</t>
  </si>
  <si>
    <t>15ש</t>
  </si>
  <si>
    <t>16ש</t>
  </si>
  <si>
    <t>17ש</t>
  </si>
  <si>
    <t>18ש</t>
  </si>
  <si>
    <t>19ש</t>
  </si>
  <si>
    <t>20ש</t>
  </si>
  <si>
    <t>21ש</t>
  </si>
  <si>
    <t>22ש</t>
  </si>
  <si>
    <t>23ש</t>
  </si>
  <si>
    <t>24ש</t>
  </si>
  <si>
    <t>25ש</t>
  </si>
  <si>
    <t>26ש</t>
  </si>
  <si>
    <t>27ש</t>
  </si>
  <si>
    <t>28ש</t>
  </si>
  <si>
    <t>29ש</t>
  </si>
  <si>
    <t>30ש</t>
  </si>
  <si>
    <t>31ש</t>
  </si>
  <si>
    <t>32ש</t>
  </si>
  <si>
    <t>33ש</t>
  </si>
  <si>
    <t>34ש</t>
  </si>
  <si>
    <t>35ש</t>
  </si>
  <si>
    <t>36ש</t>
  </si>
  <si>
    <t>37ש</t>
  </si>
  <si>
    <t>38ש</t>
  </si>
  <si>
    <t>39ש</t>
  </si>
  <si>
    <t>40ש</t>
  </si>
  <si>
    <t>41ש</t>
  </si>
  <si>
    <t>42ש</t>
  </si>
  <si>
    <t>43ש</t>
  </si>
  <si>
    <t>1כ</t>
  </si>
  <si>
    <t>2כ</t>
  </si>
  <si>
    <t>3כ</t>
  </si>
  <si>
    <t>4כ</t>
  </si>
  <si>
    <t>5כ</t>
  </si>
  <si>
    <t>6כ</t>
  </si>
  <si>
    <t>7כ</t>
  </si>
  <si>
    <t>8כ</t>
  </si>
  <si>
    <t>9כ</t>
  </si>
  <si>
    <t>10כ</t>
  </si>
  <si>
    <t>11כ</t>
  </si>
  <si>
    <t>12כ</t>
  </si>
  <si>
    <t>13כ</t>
  </si>
  <si>
    <t>14כ</t>
  </si>
  <si>
    <t>15כ</t>
  </si>
  <si>
    <t>16כ</t>
  </si>
  <si>
    <t>17כ</t>
  </si>
  <si>
    <t>18כ</t>
  </si>
  <si>
    <t>19כ</t>
  </si>
  <si>
    <t>20כ</t>
  </si>
  <si>
    <t>21כ</t>
  </si>
  <si>
    <t>22כ</t>
  </si>
  <si>
    <t>23כ</t>
  </si>
  <si>
    <t>24כ</t>
  </si>
  <si>
    <t>25כ</t>
  </si>
  <si>
    <t>26כ</t>
  </si>
  <si>
    <t>27כ</t>
  </si>
  <si>
    <t>28כ</t>
  </si>
  <si>
    <t>29כ</t>
  </si>
  <si>
    <t>30כ</t>
  </si>
  <si>
    <t>31כ</t>
  </si>
  <si>
    <t>32כ</t>
  </si>
  <si>
    <t>33כ</t>
  </si>
  <si>
    <t>34כ</t>
  </si>
  <si>
    <t>35כ</t>
  </si>
  <si>
    <t>36כ</t>
  </si>
  <si>
    <t>37כ</t>
  </si>
  <si>
    <t>38כ</t>
  </si>
  <si>
    <t>39כ</t>
  </si>
  <si>
    <t>40כ</t>
  </si>
  <si>
    <t>41כ</t>
  </si>
  <si>
    <t>42כ</t>
  </si>
  <si>
    <t>43כ</t>
  </si>
  <si>
    <t>עלות</t>
  </si>
  <si>
    <t>כמות צבע 
חודשית בקג שהוזמן אדום</t>
  </si>
  <si>
    <t>כמות צבע 
חודשית בקג שהוזמן צהוב</t>
  </si>
  <si>
    <t>כמות צבע 
חודשית בקג שהוזמן ירוק</t>
  </si>
  <si>
    <t>כמות צבע 
חודשית בקג שהוזמן כחול</t>
  </si>
  <si>
    <t>כמות צבע 
חודשית בקג שהוזמן שחור</t>
  </si>
  <si>
    <t>44ש</t>
  </si>
  <si>
    <t>כמות החומר</t>
  </si>
  <si>
    <t>מחיר ספק</t>
  </si>
  <si>
    <t>מחיר לצרכן</t>
  </si>
  <si>
    <t>name product</t>
  </si>
  <si>
    <t>quantity of 
the product</t>
  </si>
  <si>
    <t>code product</t>
  </si>
  <si>
    <t>1a</t>
  </si>
  <si>
    <t>5g</t>
  </si>
  <si>
    <t>7b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</si>
</sst>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[$₪-40D]\ * #,##0.00_ ;_ [$₪-40D]\ * \-#,##0.00_ ;_ [$₪-40D]\ * &quot;-&quot;??_ ;_ @_ "/>
  </numFmts>
  <fonts count="4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F4B08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rgb="FF000000"/>
      </patternFill>
    </fill>
  </fills>
  <borders count="6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1" xfId="0" applyBorder="1"/>
    <xf numFmtId="0" fontId="0" fillId="3" borderId="0" xfId="0" applyFill="1"/>
    <xf numFmtId="0" fontId="0" fillId="0" borderId="0" xfId="0" applyAlignment="1">
      <alignment wrapText="1"/>
    </xf>
    <xf numFmtId="0" fontId="0" fillId="3" borderId="0" xfId="0" applyFill="1" applyAlignment="1">
      <alignment wrapText="1"/>
    </xf>
    <xf numFmtId="0" fontId="0" fillId="0" borderId="0" xfId="0" applyBorder="1"/>
    <xf numFmtId="164" fontId="0" fillId="0" borderId="0" xfId="0" applyNumberFormat="1"/>
    <xf numFmtId="0" fontId="0" fillId="2" borderId="1" xfId="0" applyFill="1" applyBorder="1" applyAlignment="1">
      <alignment vertical="top"/>
    </xf>
    <xf numFmtId="0" fontId="0" fillId="5" borderId="0" xfId="0" applyFill="1" applyAlignment="1">
      <alignment vertical="top" wrapText="1"/>
    </xf>
    <xf numFmtId="0" fontId="0" fillId="4" borderId="3" xfId="0" applyFill="1" applyBorder="1"/>
    <xf numFmtId="0" fontId="0" fillId="3" borderId="3" xfId="0" applyFill="1" applyBorder="1"/>
    <xf numFmtId="0" fontId="0" fillId="4" borderId="4" xfId="0" applyFill="1" applyBorder="1" applyAlignment="1">
      <alignment vertical="top" wrapText="1"/>
    </xf>
    <xf numFmtId="0" fontId="0" fillId="4" borderId="4" xfId="0" applyFill="1" applyBorder="1"/>
    <xf numFmtId="0" fontId="0" fillId="6" borderId="3" xfId="0" applyFill="1" applyBorder="1"/>
    <xf numFmtId="0" fontId="1" fillId="0" borderId="0" xfId="0" applyFont="1" applyFill="1" applyBorder="1" applyAlignment="1">
      <alignment vertical="top" wrapText="1"/>
    </xf>
    <xf numFmtId="0" fontId="0" fillId="0" borderId="0" xfId="0" applyFill="1" applyBorder="1"/>
    <xf numFmtId="0" fontId="0" fillId="0" borderId="0" xfId="0" applyFill="1"/>
    <xf numFmtId="0" fontId="0" fillId="3" borderId="0" xfId="0" applyFill="1" applyAlignment="1">
      <alignment vertical="top"/>
    </xf>
    <xf numFmtId="0" fontId="0" fillId="3" borderId="0" xfId="0" applyFill="1" applyAlignment="1">
      <alignment vertical="top" wrapText="1"/>
    </xf>
    <xf numFmtId="0" fontId="0" fillId="3" borderId="2" xfId="0" applyFill="1" applyBorder="1" applyAlignment="1">
      <alignment vertical="top"/>
    </xf>
    <xf numFmtId="0" fontId="0" fillId="0" borderId="5" xfId="0" applyBorder="1"/>
    <xf numFmtId="0" fontId="0" fillId="0" borderId="0" xfId="0" applyBorder="1" applyAlignment="1">
      <alignment horizontal="left"/>
    </xf>
    <xf numFmtId="0" fontId="0" fillId="0" borderId="0" xfId="0" applyFill="1" applyBorder="1" applyAlignment="1">
      <alignment vertical="top" wrapText="1"/>
    </xf>
    <xf numFmtId="0" fontId="1" fillId="7" borderId="4" xfId="0" applyFont="1" applyFill="1" applyBorder="1" applyAlignment="1">
      <alignment vertical="top" wrapText="1"/>
    </xf>
    <xf numFmtId="0" fontId="1" fillId="3" borderId="4" xfId="0" applyFont="1" applyFill="1" applyBorder="1" applyAlignment="1">
      <alignment vertical="top" wrapText="1"/>
    </xf>
    <xf numFmtId="0" fontId="1" fillId="8" borderId="4" xfId="0" applyFont="1" applyFill="1" applyBorder="1" applyAlignment="1">
      <alignment vertical="top" wrapText="1"/>
    </xf>
    <xf numFmtId="0" fontId="1" fillId="9" borderId="4" xfId="0" applyFont="1" applyFill="1" applyBorder="1" applyAlignment="1">
      <alignment vertical="top" wrapText="1"/>
    </xf>
    <xf numFmtId="0" fontId="2" fillId="10" borderId="4" xfId="0" applyFont="1" applyFill="1" applyBorder="1" applyAlignment="1">
      <alignment vertical="top" wrapText="1"/>
    </xf>
    <xf numFmtId="0" fontId="0" fillId="7" borderId="3" xfId="0" applyFill="1" applyBorder="1"/>
    <xf numFmtId="0" fontId="0" fillId="8" borderId="3" xfId="0" applyFill="1" applyBorder="1"/>
    <xf numFmtId="0" fontId="0" fillId="9" borderId="3" xfId="0" applyFill="1" applyBorder="1"/>
    <xf numFmtId="0" fontId="2" fillId="11" borderId="3" xfId="0" applyFont="1" applyFill="1" applyBorder="1"/>
    <xf numFmtId="0" fontId="0" fillId="0" borderId="0" xfId="0" applyBorder="1" applyAlignment="1">
      <alignment vertical="top"/>
    </xf>
    <xf numFmtId="0" fontId="3" fillId="0" borderId="0" xfId="0" applyFont="1" applyAlignment="1">
      <alignment readingOrder="1"/>
    </xf>
    <xf numFmtId="0" fontId="3" fillId="12" borderId="0" xfId="0" applyFont="1" applyFill="1" applyAlignment="1">
      <alignment readingOrder="1"/>
    </xf>
    <xf numFmtId="164" fontId="0" fillId="3" borderId="0" xfId="0" applyNumberFormat="1" applyFill="1"/>
    <xf numFmtId="0" fontId="0" fillId="2" borderId="0" xfId="0" applyFill="1" applyBorder="1" applyAlignment="1">
      <alignment vertical="top"/>
    </xf>
    <xf numFmtId="0" fontId="3" fillId="3" borderId="0" xfId="0" applyFont="1" applyFill="1" applyAlignment="1">
      <alignment readingOrder="1"/>
    </xf>
  </cellXfs>
  <cellStyles count="1">
    <cellStyle name="Normal" xfId="0" builtinId="0"/>
  </cellStyles>
  <dxfs count="26"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5" tint="0.79998168889431442"/>
      </font>
      <numFmt numFmtId="0" formatCode="General"/>
      <fill>
        <patternFill>
          <bgColor rgb="FFFF0000"/>
        </patternFill>
      </fill>
      <border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5" tint="0.79998168889431442"/>
      </font>
      <numFmt numFmtId="0" formatCode="General"/>
      <fill>
        <patternFill>
          <bgColor rgb="FFFF0000"/>
        </patternFill>
      </fill>
      <border>
        <vertical/>
        <horizontal/>
      </border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X49"/>
  <sheetViews>
    <sheetView rightToLeft="1"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3" sqref="B3"/>
    </sheetView>
  </sheetViews>
  <sheetFormatPr defaultRowHeight="14.4" outlineLevelCol="3" x14ac:dyDescent="0.3"/>
  <cols>
    <col min="1" max="1" width="9" style="3"/>
    <col min="2" max="3" width="8.88671875" style="7"/>
    <col min="4" max="4" width="19.88671875" style="23" customWidth="1"/>
    <col min="5" max="5" width="7.21875" style="23" hidden="1" customWidth="1"/>
    <col min="6" max="6" width="7.109375" style="23" hidden="1" customWidth="1"/>
    <col min="7" max="7" width="5.77734375" style="23" hidden="1" customWidth="1"/>
    <col min="8" max="8" width="14.44140625" style="23" hidden="1" customWidth="1"/>
    <col min="9" max="9" width="11.44140625" style="23" hidden="1" customWidth="1"/>
    <col min="10" max="10" width="19.21875" style="7" customWidth="1"/>
    <col min="11" max="11" width="8.33203125" style="7" customWidth="1"/>
    <col min="12" max="12" width="12.33203125" style="1" customWidth="1"/>
    <col min="13" max="13" width="8.33203125" customWidth="1"/>
    <col min="14" max="14" width="6.44140625" customWidth="1"/>
    <col min="15" max="15" width="6.21875" customWidth="1"/>
    <col min="16" max="16" width="8.109375" customWidth="1"/>
    <col min="17" max="17" width="10.21875" customWidth="1"/>
    <col min="18" max="18" width="8.5546875" hidden="1" customWidth="1"/>
    <col min="19" max="19" width="4.44140625" hidden="1" customWidth="1"/>
    <col min="20" max="20" width="7.44140625" hidden="1" customWidth="1"/>
    <col min="21" max="21" width="9.33203125" hidden="1" customWidth="1"/>
    <col min="22" max="22" width="9.44140625" hidden="1" customWidth="1"/>
    <col min="23" max="23" width="21.5546875" hidden="1" customWidth="1"/>
    <col min="24" max="25" width="10.109375" customWidth="1"/>
    <col min="26" max="26" width="10.109375" style="18" customWidth="1"/>
    <col min="27" max="27" width="11.44140625" customWidth="1" outlineLevel="1"/>
    <col min="28" max="28" width="14.44140625" customWidth="1"/>
    <col min="29" max="29" width="11" customWidth="1" outlineLevel="3"/>
    <col min="31" max="31" width="11.44140625" customWidth="1" outlineLevel="2"/>
  </cols>
  <sheetData>
    <row r="1" spans="1:50" ht="43.8" thickBot="1" x14ac:dyDescent="0.35">
      <c r="A1" s="9" t="s">
        <v>300</v>
      </c>
      <c r="B1" s="38"/>
      <c r="C1" s="38"/>
      <c r="D1" s="23" t="s">
        <v>300</v>
      </c>
      <c r="J1" s="1" t="s">
        <v>298</v>
      </c>
      <c r="K1" s="1"/>
      <c r="L1" s="2" t="s">
        <v>299</v>
      </c>
      <c r="M1" s="2" t="s">
        <v>3</v>
      </c>
      <c r="N1" s="2" t="s">
        <v>4</v>
      </c>
      <c r="O1" s="2" t="s">
        <v>5</v>
      </c>
      <c r="P1" s="2" t="s">
        <v>6</v>
      </c>
      <c r="Q1" s="2" t="s">
        <v>7</v>
      </c>
      <c r="R1" s="2" t="s">
        <v>68</v>
      </c>
      <c r="S1" s="2" t="s">
        <v>69</v>
      </c>
      <c r="T1" s="2" t="s">
        <v>70</v>
      </c>
      <c r="U1" s="2" t="s">
        <v>71</v>
      </c>
      <c r="V1" s="2" t="s">
        <v>72</v>
      </c>
      <c r="W1" s="2" t="s">
        <v>8</v>
      </c>
      <c r="X1" s="2" t="s">
        <v>288</v>
      </c>
      <c r="Y1" s="1" t="s">
        <v>9</v>
      </c>
      <c r="Z1" s="1" t="s">
        <v>10</v>
      </c>
      <c r="AL1" s="7"/>
      <c r="AM1" s="4" t="s">
        <v>11</v>
      </c>
    </row>
    <row r="2" spans="1:50" ht="15" hidden="1" thickBot="1" x14ac:dyDescent="0.35">
      <c r="A2" s="9"/>
      <c r="B2" s="38"/>
      <c r="C2" s="38"/>
      <c r="J2" s="1"/>
      <c r="K2" s="1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1"/>
      <c r="Z2" s="1"/>
      <c r="AL2" s="7"/>
      <c r="AM2" s="4"/>
    </row>
    <row r="3" spans="1:50" ht="58.8" thickTop="1" thickBot="1" x14ac:dyDescent="0.35">
      <c r="A3" s="3" t="s">
        <v>301</v>
      </c>
      <c r="D3" s="23">
        <v>1</v>
      </c>
      <c r="E3" s="23" t="s">
        <v>73</v>
      </c>
      <c r="F3" s="23" t="s">
        <v>116</v>
      </c>
      <c r="G3" s="23" t="s">
        <v>159</v>
      </c>
      <c r="H3" s="23" t="s">
        <v>202</v>
      </c>
      <c r="I3" s="23" t="s">
        <v>245</v>
      </c>
      <c r="J3" s="1" t="s">
        <v>12</v>
      </c>
      <c r="K3" s="22" cm="1">
        <f t="array" ref="K3:L5">_xlfn._xlws.FILTER(IF({1,0},_xlfn._xlws.SORT(--_xlfn.UNIQUE(LEFT($A$3:$A$1501,LEN($A$3:$A$1501)-1))),
                            COUNTIFS($A$3:$A$1501,_xlfn._xlws.SORT(_xlfn.UNIQUE(LEFT($A$3:$A$1501,LEN($A$3:$A$1501)-1)))&amp;"?")),
  COUNTIFS($A$3:$A$1501,_xlfn._xlws.SORT(_xlfn.UNIQUE(LEFT($A$3:$A$1501,LEN($A$3:$A$1501)-1)))&amp;"?") &gt;0)</f>
        <v>1</v>
      </c>
      <c r="L3">
        <v>1</v>
      </c>
      <c r="M3" s="35">
        <f>L3*0.2-0.2</f>
        <v>0</v>
      </c>
      <c r="N3">
        <f>L3*1</f>
        <v>1</v>
      </c>
      <c r="R3">
        <f>COUNTIF(A:A,E3)*W3</f>
        <v>0</v>
      </c>
      <c r="S3">
        <f>COUNTIF(A:A,F3)*W3</f>
        <v>0</v>
      </c>
      <c r="T3">
        <f>COUNTIF(A:A,G3)*W3</f>
        <v>0</v>
      </c>
      <c r="U3">
        <f>COUNTIF(A:A,H3)*W3</f>
        <v>0</v>
      </c>
      <c r="V3">
        <f>COUNTIF(A:A,I3)*W3</f>
        <v>0</v>
      </c>
      <c r="W3">
        <v>0.01</v>
      </c>
      <c r="X3">
        <f>'טבלת עלויות'!T2*L3-'טבלת עלויות'!T2</f>
        <v>0</v>
      </c>
      <c r="AA3" s="13" t="s">
        <v>18</v>
      </c>
      <c r="AC3" s="13" t="s">
        <v>19</v>
      </c>
      <c r="AE3" s="10" t="s">
        <v>27</v>
      </c>
      <c r="AG3" s="10" t="s">
        <v>28</v>
      </c>
      <c r="AL3" s="7"/>
    </row>
    <row r="4" spans="1:50" ht="15.6" thickTop="1" thickBot="1" x14ac:dyDescent="0.35">
      <c r="A4" s="3" t="s">
        <v>302</v>
      </c>
      <c r="D4" s="23">
        <v>2</v>
      </c>
      <c r="E4" s="23" t="s">
        <v>74</v>
      </c>
      <c r="F4" s="23" t="s">
        <v>117</v>
      </c>
      <c r="G4" s="23" t="s">
        <v>160</v>
      </c>
      <c r="H4" s="23" t="s">
        <v>203</v>
      </c>
      <c r="I4" s="23" t="s">
        <v>246</v>
      </c>
      <c r="J4" s="1" t="s">
        <v>13</v>
      </c>
      <c r="K4" s="7">
        <v>5</v>
      </c>
      <c r="L4">
        <v>1</v>
      </c>
      <c r="M4" s="35">
        <f>L4*0.4</f>
        <v>0.4</v>
      </c>
      <c r="N4">
        <f>L4*2</f>
        <v>2</v>
      </c>
      <c r="R4">
        <f>COUNTIF(A:A,E4)*W4</f>
        <v>0</v>
      </c>
      <c r="S4">
        <f>COUNTIF(D:D,G4)*W4</f>
        <v>0</v>
      </c>
      <c r="T4">
        <f>COUNTIF(E:E,G4)*W4</f>
        <v>0</v>
      </c>
      <c r="U4">
        <f>COUNTIF(F:F,H4)*W4</f>
        <v>0</v>
      </c>
      <c r="V4">
        <f>COUNTIF(G:G,I4)*W4</f>
        <v>0</v>
      </c>
      <c r="W4">
        <v>0.02</v>
      </c>
      <c r="X4">
        <f>'טבלת עלויות'!T3*L4-'טבלת עלויות'!T3</f>
        <v>0</v>
      </c>
      <c r="AA4" s="14">
        <v>200</v>
      </c>
      <c r="AC4" s="11">
        <v>200</v>
      </c>
    </row>
    <row r="5" spans="1:50" ht="15.6" thickTop="1" thickBot="1" x14ac:dyDescent="0.35">
      <c r="A5" s="3" t="s">
        <v>303</v>
      </c>
      <c r="D5" s="23">
        <v>3</v>
      </c>
      <c r="E5" s="23" t="s">
        <v>75</v>
      </c>
      <c r="F5" s="23" t="s">
        <v>118</v>
      </c>
      <c r="G5" s="23" t="s">
        <v>161</v>
      </c>
      <c r="H5" s="23" t="s">
        <v>204</v>
      </c>
      <c r="I5" s="23" t="s">
        <v>247</v>
      </c>
      <c r="J5" s="1" t="s">
        <v>14</v>
      </c>
      <c r="K5" s="7">
        <v>7</v>
      </c>
      <c r="L5">
        <v>1</v>
      </c>
      <c r="M5" s="35">
        <f>L5*0.48</f>
        <v>0.48</v>
      </c>
      <c r="N5">
        <f>L5*1</f>
        <v>1</v>
      </c>
      <c r="R5">
        <f>COUNTIF(A:A,E5)*W5</f>
        <v>0</v>
      </c>
      <c r="S5">
        <f>COUNTIF(D:D,G5)*W5</f>
        <v>0</v>
      </c>
      <c r="T5">
        <f>COUNTIF(E:E,G5)*W5</f>
        <v>0</v>
      </c>
      <c r="U5">
        <f>COUNTIF(F:F,H5)*W5</f>
        <v>0</v>
      </c>
      <c r="V5">
        <f>COUNTIF(G:G,I5)*W5</f>
        <v>0</v>
      </c>
      <c r="W5">
        <v>2.4E-2</v>
      </c>
      <c r="X5">
        <f>'טבלת עלויות'!T4*L5-'טבלת עלויות'!T4</f>
        <v>0</v>
      </c>
      <c r="AA5" s="15" t="s">
        <v>22</v>
      </c>
      <c r="AC5" s="15" t="s">
        <v>22</v>
      </c>
    </row>
    <row r="6" spans="1:50" ht="15.6" thickTop="1" thickBot="1" x14ac:dyDescent="0.35">
      <c r="D6" s="23">
        <v>4</v>
      </c>
      <c r="E6" s="23" t="s">
        <v>76</v>
      </c>
      <c r="F6" s="23" t="s">
        <v>119</v>
      </c>
      <c r="G6" s="23" t="s">
        <v>162</v>
      </c>
      <c r="H6" s="23" t="s">
        <v>205</v>
      </c>
      <c r="I6" s="23" t="s">
        <v>248</v>
      </c>
      <c r="J6" s="1" t="s">
        <v>15</v>
      </c>
      <c r="L6"/>
      <c r="M6" s="35">
        <f>L6*0.96</f>
        <v>0</v>
      </c>
      <c r="N6">
        <f>L6*2</f>
        <v>0</v>
      </c>
      <c r="R6">
        <f>COUNTIF(A:A,E6)*W6</f>
        <v>0</v>
      </c>
      <c r="S6">
        <f>COUNTIF(D:D,G6)*W6</f>
        <v>0</v>
      </c>
      <c r="T6">
        <f>COUNTIF(E:E,G6)*W6</f>
        <v>0</v>
      </c>
      <c r="U6">
        <f>COUNTIF(F:F,H6)*W6</f>
        <v>0</v>
      </c>
      <c r="V6">
        <f>COUNTIF(G:G,I6)*W6</f>
        <v>0</v>
      </c>
      <c r="W6">
        <v>4.8000000000000001E-2</v>
      </c>
      <c r="X6">
        <f>'טבלת עלויות'!T5*L6-'טבלת עלויות'!T5</f>
        <v>-92.77600000000001</v>
      </c>
      <c r="AA6" s="15">
        <f>AA4-SUM(N3:N1827)+33</f>
        <v>229</v>
      </c>
      <c r="AC6" s="15">
        <f>AC4-SUM(O3:O1139)+22</f>
        <v>222</v>
      </c>
    </row>
    <row r="7" spans="1:50" ht="15" thickBot="1" x14ac:dyDescent="0.35">
      <c r="D7" s="23">
        <v>5</v>
      </c>
      <c r="E7" s="23" t="s">
        <v>77</v>
      </c>
      <c r="F7" s="23" t="s">
        <v>120</v>
      </c>
      <c r="G7" s="23" t="s">
        <v>163</v>
      </c>
      <c r="H7" s="23" t="s">
        <v>206</v>
      </c>
      <c r="I7" s="23" t="s">
        <v>249</v>
      </c>
      <c r="J7" s="21" t="s">
        <v>16</v>
      </c>
      <c r="L7"/>
      <c r="M7" s="36"/>
      <c r="N7" s="4">
        <f>L7*1</f>
        <v>0</v>
      </c>
      <c r="O7" s="4"/>
      <c r="P7" s="4"/>
      <c r="Q7" s="4"/>
      <c r="R7">
        <f>COUNTIF(A:A,E7)*W7</f>
        <v>0</v>
      </c>
      <c r="S7">
        <f>COUNTIF(D:D,G7)*W7</f>
        <v>0</v>
      </c>
      <c r="T7">
        <f>COUNTIF(E:E,G7)*W7</f>
        <v>0</v>
      </c>
      <c r="U7">
        <f>COUNTIF(F:F,H7)*W7</f>
        <v>0</v>
      </c>
      <c r="V7">
        <f>COUNTIF(G:G,I7)*W7</f>
        <v>0</v>
      </c>
      <c r="W7" s="4"/>
      <c r="X7">
        <f>'טבלת עלויות'!T6*L7-'טבלת עלויות'!T6</f>
        <v>-14</v>
      </c>
      <c r="AA7" s="7"/>
      <c r="AX7" s="16"/>
    </row>
    <row r="8" spans="1:50" ht="15" thickBot="1" x14ac:dyDescent="0.35">
      <c r="D8" s="23">
        <v>6</v>
      </c>
      <c r="E8" s="23" t="s">
        <v>78</v>
      </c>
      <c r="F8" s="23" t="s">
        <v>121</v>
      </c>
      <c r="G8" s="23" t="s">
        <v>164</v>
      </c>
      <c r="H8" s="23" t="s">
        <v>207</v>
      </c>
      <c r="I8" s="23" t="s">
        <v>250</v>
      </c>
      <c r="J8" s="19" t="s">
        <v>17</v>
      </c>
      <c r="L8"/>
      <c r="M8" s="36"/>
      <c r="N8" s="4">
        <f>L8*2</f>
        <v>0</v>
      </c>
      <c r="O8" s="4"/>
      <c r="P8" s="4"/>
      <c r="Q8" s="4"/>
      <c r="R8">
        <f>COUNTIF(A:A,E8)*W8</f>
        <v>0</v>
      </c>
      <c r="S8">
        <f>COUNTIF(D:D,G8)*W8</f>
        <v>0</v>
      </c>
      <c r="T8">
        <f>COUNTIF(E:E,G8)*W8</f>
        <v>0</v>
      </c>
      <c r="U8">
        <f>COUNTIF(F:F,H8)*W8</f>
        <v>0</v>
      </c>
      <c r="V8">
        <f>COUNTIF(G:G,I8)*W8</f>
        <v>0</v>
      </c>
      <c r="W8" s="4"/>
      <c r="X8">
        <f>'טבלת עלויות'!T7*L8-'טבלת עלויות'!T7</f>
        <v>-28</v>
      </c>
      <c r="AA8" s="24"/>
      <c r="AD8" s="1"/>
      <c r="AX8" s="17"/>
    </row>
    <row r="9" spans="1:50" ht="44.4" thickTop="1" thickBot="1" x14ac:dyDescent="0.35">
      <c r="D9" s="23">
        <v>7</v>
      </c>
      <c r="E9" s="23" t="s">
        <v>79</v>
      </c>
      <c r="F9" s="23" t="s">
        <v>122</v>
      </c>
      <c r="G9" s="23" t="s">
        <v>165</v>
      </c>
      <c r="H9" s="23" t="s">
        <v>208</v>
      </c>
      <c r="I9" s="23" t="s">
        <v>251</v>
      </c>
      <c r="J9" s="1" t="s">
        <v>20</v>
      </c>
      <c r="L9"/>
      <c r="M9" s="35">
        <f>L9*0.3</f>
        <v>0</v>
      </c>
      <c r="N9">
        <f>L9*1</f>
        <v>0</v>
      </c>
      <c r="R9">
        <f>COUNTIF(A:A,E9)*W9</f>
        <v>0</v>
      </c>
      <c r="S9">
        <f>COUNTIF(D:D,G9)*W9</f>
        <v>0</v>
      </c>
      <c r="T9">
        <f>COUNTIF(E:E,G9)*W9</f>
        <v>0</v>
      </c>
      <c r="U9">
        <f>COUNTIF(F:F,H9)*W9</f>
        <v>0</v>
      </c>
      <c r="V9">
        <f>COUNTIF(G:G,I9)*W9</f>
        <v>0</v>
      </c>
      <c r="W9">
        <v>1.4999999999999999E-2</v>
      </c>
      <c r="X9">
        <f>'טבלת עלויות'!T8*L9-'טבלת עלויות'!T8</f>
        <v>-34.2425</v>
      </c>
      <c r="AA9" s="13" t="s">
        <v>295</v>
      </c>
      <c r="AC9" s="25" t="s">
        <v>289</v>
      </c>
      <c r="AE9" s="26" t="s">
        <v>290</v>
      </c>
      <c r="AX9" s="17"/>
    </row>
    <row r="10" spans="1:50" ht="15.6" thickTop="1" thickBot="1" x14ac:dyDescent="0.35">
      <c r="D10" s="23">
        <v>8</v>
      </c>
      <c r="E10" s="23" t="s">
        <v>80</v>
      </c>
      <c r="F10" s="23" t="s">
        <v>123</v>
      </c>
      <c r="G10" s="23" t="s">
        <v>166</v>
      </c>
      <c r="H10" s="23" t="s">
        <v>209</v>
      </c>
      <c r="I10" s="23" t="s">
        <v>252</v>
      </c>
      <c r="J10" s="1" t="s">
        <v>21</v>
      </c>
      <c r="L10"/>
      <c r="M10" s="35">
        <f>L10*0.6</f>
        <v>0</v>
      </c>
      <c r="N10">
        <f>L10*2</f>
        <v>0</v>
      </c>
      <c r="R10">
        <f>COUNTIF(A:A,E10)*W10</f>
        <v>0</v>
      </c>
      <c r="S10">
        <f>COUNTIF(D:D,G10)*W10</f>
        <v>0</v>
      </c>
      <c r="T10">
        <f>COUNTIF(E:E,G10)*W10</f>
        <v>0</v>
      </c>
      <c r="U10">
        <f>COUNTIF(F:F,H10)*W10</f>
        <v>0</v>
      </c>
      <c r="V10">
        <f>COUNTIF(G:G,I10)*W10</f>
        <v>0</v>
      </c>
      <c r="W10">
        <v>0.03</v>
      </c>
      <c r="X10">
        <f>'טבלת עלויות'!T9*L10-'טבלת עלויות'!T9</f>
        <v>-68.484999999999999</v>
      </c>
      <c r="AA10" s="14">
        <v>200</v>
      </c>
      <c r="AC10" s="30">
        <v>10</v>
      </c>
      <c r="AE10" s="12">
        <v>10</v>
      </c>
      <c r="AX10" s="17"/>
    </row>
    <row r="11" spans="1:50" ht="15.6" thickTop="1" thickBot="1" x14ac:dyDescent="0.35">
      <c r="D11" s="23">
        <v>9</v>
      </c>
      <c r="E11" s="23" t="s">
        <v>81</v>
      </c>
      <c r="F11" s="23" t="s">
        <v>124</v>
      </c>
      <c r="G11" s="23" t="s">
        <v>167</v>
      </c>
      <c r="H11" s="23" t="s">
        <v>210</v>
      </c>
      <c r="I11" s="23" t="s">
        <v>253</v>
      </c>
      <c r="J11" s="19" t="s">
        <v>23</v>
      </c>
      <c r="L11"/>
      <c r="M11" s="36"/>
      <c r="N11" s="4">
        <f>L11*1</f>
        <v>0</v>
      </c>
      <c r="O11" s="4"/>
      <c r="P11" s="4"/>
      <c r="Q11" s="4"/>
      <c r="R11">
        <f>COUNTIF(A:A,E11)*W11</f>
        <v>0</v>
      </c>
      <c r="S11">
        <f>COUNTIF(D:D,G11)*W11</f>
        <v>0</v>
      </c>
      <c r="T11">
        <f>COUNTIF(E:E,G11)*W11</f>
        <v>0</v>
      </c>
      <c r="U11">
        <f>COUNTIF(F:F,H11)*W11</f>
        <v>0</v>
      </c>
      <c r="V11">
        <f>COUNTIF(G:G,I11)*W11</f>
        <v>0</v>
      </c>
      <c r="W11" s="4"/>
      <c r="X11">
        <f>'טבלת עלויות'!T10*L11-'טבלת עלויות'!T10</f>
        <v>-14</v>
      </c>
      <c r="AA11" s="15" t="s">
        <v>22</v>
      </c>
      <c r="AC11" s="15" t="s">
        <v>22</v>
      </c>
      <c r="AE11" s="15" t="s">
        <v>22</v>
      </c>
      <c r="AX11" s="18"/>
    </row>
    <row r="12" spans="1:50" ht="15.6" thickTop="1" thickBot="1" x14ac:dyDescent="0.35">
      <c r="D12" s="23">
        <v>10</v>
      </c>
      <c r="E12" s="23" t="s">
        <v>82</v>
      </c>
      <c r="F12" s="23" t="s">
        <v>125</v>
      </c>
      <c r="G12" s="23" t="s">
        <v>168</v>
      </c>
      <c r="H12" s="23" t="s">
        <v>211</v>
      </c>
      <c r="I12" s="23" t="s">
        <v>254</v>
      </c>
      <c r="J12" s="19" t="s">
        <v>24</v>
      </c>
      <c r="L12"/>
      <c r="M12" s="36"/>
      <c r="N12" s="4">
        <f>L12*2</f>
        <v>0</v>
      </c>
      <c r="O12" s="4"/>
      <c r="P12" s="4"/>
      <c r="Q12" s="4"/>
      <c r="R12">
        <f>COUNTIF(A:A,E12)*W12</f>
        <v>0</v>
      </c>
      <c r="S12">
        <f>COUNTIF(D:D,G12)*W12</f>
        <v>0</v>
      </c>
      <c r="T12">
        <f>COUNTIF(E:E,G12)*W12</f>
        <v>0</v>
      </c>
      <c r="U12">
        <f>COUNTIF(F:F,H12)*W12</f>
        <v>0</v>
      </c>
      <c r="V12">
        <f>COUNTIF(G:G,I12)*W12</f>
        <v>0</v>
      </c>
      <c r="W12" s="4"/>
      <c r="X12">
        <f>'טבלת עלויות'!T11*L12-'טבלת עלויות'!T11</f>
        <v>-28</v>
      </c>
      <c r="AA12" s="15">
        <f>AA10-SUM(M3:M1827)+16.39</f>
        <v>215.51</v>
      </c>
      <c r="AC12" s="15">
        <f>AC10-SUM(R3:R1739)</f>
        <v>10</v>
      </c>
      <c r="AE12" s="15">
        <f>AE10-SUM(T3:T2855)</f>
        <v>10</v>
      </c>
    </row>
    <row r="13" spans="1:50" ht="15" thickBot="1" x14ac:dyDescent="0.35">
      <c r="D13" s="23">
        <v>11</v>
      </c>
      <c r="E13" s="23" t="s">
        <v>83</v>
      </c>
      <c r="F13" s="23" t="s">
        <v>126</v>
      </c>
      <c r="G13" s="23" t="s">
        <v>169</v>
      </c>
      <c r="H13" s="23" t="s">
        <v>212</v>
      </c>
      <c r="I13" s="23" t="s">
        <v>255</v>
      </c>
      <c r="J13" s="1" t="s">
        <v>25</v>
      </c>
      <c r="L13"/>
      <c r="M13" s="39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</row>
    <row r="14" spans="1:50" ht="44.4" thickTop="1" thickBot="1" x14ac:dyDescent="0.35">
      <c r="D14" s="23">
        <v>12</v>
      </c>
      <c r="E14" s="23" t="s">
        <v>84</v>
      </c>
      <c r="F14" s="23" t="s">
        <v>127</v>
      </c>
      <c r="G14" s="23" t="s">
        <v>170</v>
      </c>
      <c r="H14" s="23" t="s">
        <v>213</v>
      </c>
      <c r="I14" s="23" t="s">
        <v>256</v>
      </c>
      <c r="J14" s="1" t="s">
        <v>26</v>
      </c>
      <c r="L14"/>
      <c r="M14" s="35">
        <f>L13*0.56</f>
        <v>0</v>
      </c>
      <c r="N14">
        <f>L13*1</f>
        <v>0</v>
      </c>
      <c r="R14">
        <f>COUNTIF(A:A,E14)*W14</f>
        <v>0</v>
      </c>
      <c r="S14">
        <f>COUNTIF(D:D,G14)*W14</f>
        <v>0</v>
      </c>
      <c r="T14">
        <f>COUNTIF(E:E,G14)*W14</f>
        <v>0</v>
      </c>
      <c r="U14">
        <f>COUNTIF(F:F,H14)*W14</f>
        <v>0</v>
      </c>
      <c r="V14">
        <f>COUNTIF(G:G,I14)*W14</f>
        <v>0</v>
      </c>
      <c r="W14">
        <v>2.8000000000000001E-2</v>
      </c>
      <c r="X14">
        <f>'טבלת עלויות'!T13*L13-'טבלת עלויות'!T13</f>
        <v>-51.786000000000008</v>
      </c>
      <c r="AA14" s="27" t="s">
        <v>291</v>
      </c>
      <c r="AB14" s="1"/>
      <c r="AC14" s="28" t="s">
        <v>292</v>
      </c>
      <c r="AE14" s="29" t="s">
        <v>293</v>
      </c>
    </row>
    <row r="15" spans="1:50" ht="15.6" thickTop="1" thickBot="1" x14ac:dyDescent="0.35">
      <c r="D15" s="23">
        <v>13</v>
      </c>
      <c r="E15" s="23" t="s">
        <v>85</v>
      </c>
      <c r="F15" s="23" t="s">
        <v>128</v>
      </c>
      <c r="G15" s="23" t="s">
        <v>171</v>
      </c>
      <c r="H15" s="23" t="s">
        <v>214</v>
      </c>
      <c r="I15" s="23" t="s">
        <v>257</v>
      </c>
      <c r="J15" s="1" t="s">
        <v>29</v>
      </c>
      <c r="L15"/>
      <c r="M15" s="35">
        <f>L14*1.12</f>
        <v>0</v>
      </c>
      <c r="N15">
        <f>L14*2</f>
        <v>0</v>
      </c>
      <c r="R15">
        <f>COUNTIF(A:A,E15)*W15</f>
        <v>0</v>
      </c>
      <c r="S15">
        <f>COUNTIF(D:D,G15)*W15</f>
        <v>0</v>
      </c>
      <c r="T15">
        <f>COUNTIF(E:E,G15)*W15</f>
        <v>0</v>
      </c>
      <c r="U15">
        <f>COUNTIF(F:F,H15)*W15</f>
        <v>0</v>
      </c>
      <c r="V15">
        <f>COUNTIF(G:G,I15)*W15</f>
        <v>0</v>
      </c>
      <c r="W15">
        <v>5.6000000000000001E-2</v>
      </c>
      <c r="X15">
        <f>'טבלת עלויות'!T14*L14-'טבלת עלויות'!T14</f>
        <v>-103.57200000000002</v>
      </c>
      <c r="AA15" s="31">
        <v>10</v>
      </c>
      <c r="AC15" s="32">
        <v>10</v>
      </c>
      <c r="AE15" s="33">
        <v>10</v>
      </c>
    </row>
    <row r="16" spans="1:50" ht="15.6" thickTop="1" thickBot="1" x14ac:dyDescent="0.35">
      <c r="D16" s="23">
        <v>14</v>
      </c>
      <c r="E16" s="23" t="s">
        <v>86</v>
      </c>
      <c r="F16" s="23" t="s">
        <v>129</v>
      </c>
      <c r="G16" s="23" t="s">
        <v>172</v>
      </c>
      <c r="H16" s="23" t="s">
        <v>215</v>
      </c>
      <c r="I16" s="23" t="s">
        <v>258</v>
      </c>
      <c r="J16" s="1" t="s">
        <v>30</v>
      </c>
      <c r="M16" s="35">
        <f>L15*0.17</f>
        <v>0</v>
      </c>
      <c r="N16">
        <f>L15*1</f>
        <v>0</v>
      </c>
      <c r="R16">
        <f>COUNTIF(A:A,E16)*W16</f>
        <v>0</v>
      </c>
      <c r="S16">
        <f>COUNTIF(D:D,G16)*W16</f>
        <v>0</v>
      </c>
      <c r="T16">
        <f>COUNTIF(E:E,G16)*W16</f>
        <v>0</v>
      </c>
      <c r="U16">
        <f>COUNTIF(F:F,H16)*W16</f>
        <v>0</v>
      </c>
      <c r="V16">
        <f>COUNTIF(G:G,I16)*W16</f>
        <v>0</v>
      </c>
      <c r="W16">
        <v>8.5000000000000006E-3</v>
      </c>
      <c r="X16">
        <f>'טבלת עלויות'!T15*L15-'טבלת עלויות'!T15</f>
        <v>-25.470750000000002</v>
      </c>
      <c r="AA16" s="15" t="s">
        <v>22</v>
      </c>
      <c r="AC16" s="15" t="s">
        <v>22</v>
      </c>
      <c r="AE16" s="15" t="s">
        <v>22</v>
      </c>
    </row>
    <row r="17" spans="4:31" ht="15.6" thickTop="1" thickBot="1" x14ac:dyDescent="0.35">
      <c r="D17" s="23">
        <v>15</v>
      </c>
      <c r="E17" s="23" t="s">
        <v>87</v>
      </c>
      <c r="F17" s="23" t="s">
        <v>130</v>
      </c>
      <c r="G17" s="23" t="s">
        <v>173</v>
      </c>
      <c r="H17" s="23" t="s">
        <v>216</v>
      </c>
      <c r="I17" s="23" t="s">
        <v>259</v>
      </c>
      <c r="J17" s="1" t="s">
        <v>31</v>
      </c>
      <c r="L17"/>
      <c r="M17" s="35">
        <f>L17*0.52</f>
        <v>0</v>
      </c>
      <c r="N17">
        <f t="shared" ref="N7:N49" si="0">L17*1</f>
        <v>0</v>
      </c>
      <c r="R17">
        <f>COUNTIF(A:A,E17)*W17</f>
        <v>0</v>
      </c>
      <c r="S17">
        <f>COUNTIF(D:D,G17)*W17</f>
        <v>0</v>
      </c>
      <c r="T17">
        <f>COUNTIF(E:E,G17)*W17</f>
        <v>0</v>
      </c>
      <c r="U17">
        <f>COUNTIF(F:F,H17)*W17</f>
        <v>0</v>
      </c>
      <c r="V17">
        <f>COUNTIF(G:G,I17)*W17</f>
        <v>0</v>
      </c>
      <c r="W17">
        <v>2.5999999999999999E-2</v>
      </c>
      <c r="X17">
        <f>'טבלת עלויות'!T16*L17-'טבלת עלויות'!T16</f>
        <v>-49.086999999999996</v>
      </c>
      <c r="AA17" s="15">
        <f>AA15-SUM(S3:S770)</f>
        <v>10</v>
      </c>
      <c r="AC17" s="15">
        <f>AC15-SUM(V3:V625)</f>
        <v>10</v>
      </c>
      <c r="AE17" s="15">
        <f>AE15-SUM(U3:U677)</f>
        <v>10</v>
      </c>
    </row>
    <row r="18" spans="4:31" ht="15" thickBot="1" x14ac:dyDescent="0.35">
      <c r="D18" s="23">
        <v>16</v>
      </c>
      <c r="E18" s="23" t="s">
        <v>88</v>
      </c>
      <c r="F18" s="23" t="s">
        <v>131</v>
      </c>
      <c r="G18" s="23" t="s">
        <v>174</v>
      </c>
      <c r="H18" s="23" t="s">
        <v>217</v>
      </c>
      <c r="I18" s="23" t="s">
        <v>260</v>
      </c>
      <c r="J18" s="1" t="s">
        <v>32</v>
      </c>
      <c r="L18"/>
      <c r="M18" s="35">
        <f>L18*1.4</f>
        <v>0</v>
      </c>
      <c r="N18">
        <f>L18*2</f>
        <v>0</v>
      </c>
      <c r="R18">
        <f>COUNTIF(A:A,E18)*W18</f>
        <v>0</v>
      </c>
      <c r="S18">
        <f>COUNTIF(D:D,G18)*W18</f>
        <v>0</v>
      </c>
      <c r="T18">
        <f>COUNTIF(E:E,G18)*W18</f>
        <v>0</v>
      </c>
      <c r="U18">
        <f>COUNTIF(F:F,H18)*W18</f>
        <v>0</v>
      </c>
      <c r="V18">
        <f>COUNTIF(G:G,I18)*W18</f>
        <v>0</v>
      </c>
      <c r="W18">
        <v>5.1999999999999998E-2</v>
      </c>
      <c r="X18">
        <f>'טבלת עלויות'!T17*L18-'טבלת עלויות'!T17</f>
        <v>-115.09399999999999</v>
      </c>
    </row>
    <row r="19" spans="4:31" ht="15" thickBot="1" x14ac:dyDescent="0.35">
      <c r="D19" s="23">
        <v>17</v>
      </c>
      <c r="E19" s="23" t="s">
        <v>89</v>
      </c>
      <c r="F19" s="23" t="s">
        <v>132</v>
      </c>
      <c r="G19" s="23" t="s">
        <v>175</v>
      </c>
      <c r="H19" s="23" t="s">
        <v>218</v>
      </c>
      <c r="I19" s="23" t="s">
        <v>261</v>
      </c>
      <c r="J19" s="1" t="s">
        <v>33</v>
      </c>
      <c r="L19"/>
      <c r="M19" s="35">
        <f>L19*0.7</f>
        <v>0</v>
      </c>
      <c r="N19">
        <f t="shared" si="0"/>
        <v>0</v>
      </c>
      <c r="R19">
        <f>COUNTIF(A:A,E19)*W19</f>
        <v>0</v>
      </c>
      <c r="S19">
        <f>COUNTIF(D:D,G19)*W19</f>
        <v>0</v>
      </c>
      <c r="T19">
        <f>COUNTIF(E:E,G19)*W19</f>
        <v>0</v>
      </c>
      <c r="U19">
        <f>COUNTIF(F:F,H19)*W19</f>
        <v>0</v>
      </c>
      <c r="V19">
        <f>COUNTIF(G:G,I19)*W19</f>
        <v>0</v>
      </c>
      <c r="W19">
        <v>3.5000000000000003E-2</v>
      </c>
      <c r="X19">
        <f>'טבלת עלויות'!T18*L19-'טבלת עלויות'!T18</f>
        <v>-61.232500000000002</v>
      </c>
    </row>
    <row r="20" spans="4:31" ht="15" thickBot="1" x14ac:dyDescent="0.35">
      <c r="D20" s="23">
        <v>18</v>
      </c>
      <c r="E20" s="23" t="s">
        <v>90</v>
      </c>
      <c r="F20" s="23" t="s">
        <v>133</v>
      </c>
      <c r="G20" s="23" t="s">
        <v>176</v>
      </c>
      <c r="H20" s="23" t="s">
        <v>219</v>
      </c>
      <c r="I20" s="23" t="s">
        <v>262</v>
      </c>
      <c r="J20" s="1" t="s">
        <v>34</v>
      </c>
      <c r="L20"/>
      <c r="M20" s="35">
        <f>L20*0.8</f>
        <v>0</v>
      </c>
      <c r="N20">
        <f>L20*0</f>
        <v>0</v>
      </c>
      <c r="R20">
        <f>COUNTIF(A:A,E20)*W20</f>
        <v>0</v>
      </c>
      <c r="S20">
        <f>COUNTIF(D:D,G20)*W20</f>
        <v>0</v>
      </c>
      <c r="T20">
        <f>COUNTIF(E:E,G20)*W20</f>
        <v>0</v>
      </c>
      <c r="U20">
        <f>COUNTIF(F:F,H20)*W20</f>
        <v>0</v>
      </c>
      <c r="V20">
        <f>COUNTIF(G:G,I20)*W20</f>
        <v>0</v>
      </c>
      <c r="W20">
        <v>0.04</v>
      </c>
      <c r="X20">
        <f>'טבלת עלויות'!T19*L20-'טבלת עלויות'!T19</f>
        <v>-53.980000000000004</v>
      </c>
    </row>
    <row r="21" spans="4:31" ht="15" thickBot="1" x14ac:dyDescent="0.35">
      <c r="D21" s="23">
        <v>19</v>
      </c>
      <c r="E21" s="23" t="s">
        <v>91</v>
      </c>
      <c r="F21" s="23" t="s">
        <v>134</v>
      </c>
      <c r="G21" s="23" t="s">
        <v>177</v>
      </c>
      <c r="H21" s="23" t="s">
        <v>220</v>
      </c>
      <c r="I21" s="23" t="s">
        <v>263</v>
      </c>
      <c r="J21" s="19" t="s">
        <v>35</v>
      </c>
      <c r="L21"/>
      <c r="M21" s="36"/>
      <c r="N21" s="4">
        <f>L21*2</f>
        <v>0</v>
      </c>
      <c r="O21" s="4"/>
      <c r="P21" s="4"/>
      <c r="Q21" s="4"/>
      <c r="R21">
        <f>COUNTIF(A:A,E21)*W21</f>
        <v>0</v>
      </c>
      <c r="S21">
        <f>COUNTIF(D:D,G21)*W21</f>
        <v>0</v>
      </c>
      <c r="T21">
        <f>COUNTIF(E:E,G21)*W21</f>
        <v>0</v>
      </c>
      <c r="U21">
        <f>COUNTIF(F:F,H21)*W21</f>
        <v>0</v>
      </c>
      <c r="V21">
        <f>COUNTIF(G:G,I21)*W21</f>
        <v>0</v>
      </c>
      <c r="W21" s="4"/>
      <c r="X21">
        <f>'טבלת עלויות'!T20*L21-'טבלת עלויות'!T20</f>
        <v>-28</v>
      </c>
    </row>
    <row r="22" spans="4:31" ht="15" thickBot="1" x14ac:dyDescent="0.35">
      <c r="D22" s="23">
        <v>20</v>
      </c>
      <c r="E22" s="23" t="s">
        <v>92</v>
      </c>
      <c r="F22" s="23" t="s">
        <v>135</v>
      </c>
      <c r="G22" s="23" t="s">
        <v>178</v>
      </c>
      <c r="H22" s="23" t="s">
        <v>221</v>
      </c>
      <c r="I22" s="23" t="s">
        <v>264</v>
      </c>
      <c r="J22" s="1" t="s">
        <v>36</v>
      </c>
      <c r="L22"/>
      <c r="M22" s="35">
        <f>L22*0.26</f>
        <v>0</v>
      </c>
      <c r="N22">
        <f>L22*1</f>
        <v>0</v>
      </c>
      <c r="R22">
        <f>COUNTIF(A:A,E22)*W22</f>
        <v>0</v>
      </c>
      <c r="S22">
        <f>COUNTIF(D:D,G22)*W22</f>
        <v>0</v>
      </c>
      <c r="T22">
        <f>COUNTIF(E:E,G22)*W22</f>
        <v>0</v>
      </c>
      <c r="U22">
        <f>COUNTIF(F:F,H22)*W22</f>
        <v>0</v>
      </c>
      <c r="V22">
        <f>COUNTIF(G:G,I22)*W22</f>
        <v>0</v>
      </c>
      <c r="W22">
        <v>1.2999999999999999E-2</v>
      </c>
      <c r="X22">
        <f>'טבלת עלויות'!T21*L22-'טבלת עלויות'!T21</f>
        <v>-31.543499999999998</v>
      </c>
    </row>
    <row r="23" spans="4:31" ht="15" thickBot="1" x14ac:dyDescent="0.35">
      <c r="D23" s="23">
        <v>21</v>
      </c>
      <c r="E23" s="23" t="s">
        <v>93</v>
      </c>
      <c r="F23" s="23" t="s">
        <v>136</v>
      </c>
      <c r="G23" s="23" t="s">
        <v>179</v>
      </c>
      <c r="H23" s="23" t="s">
        <v>222</v>
      </c>
      <c r="I23" s="23" t="s">
        <v>265</v>
      </c>
      <c r="J23" s="19" t="s">
        <v>37</v>
      </c>
      <c r="L23"/>
      <c r="M23" s="36"/>
      <c r="N23" s="4">
        <f>L23*1</f>
        <v>0</v>
      </c>
      <c r="O23" s="4"/>
      <c r="P23" s="4"/>
      <c r="Q23" s="4"/>
      <c r="R23">
        <f>COUNTIF(A:A,E23)*W23</f>
        <v>0</v>
      </c>
      <c r="S23">
        <f>COUNTIF(D:D,G23)*W23</f>
        <v>0</v>
      </c>
      <c r="T23">
        <f>COUNTIF(E:E,G23)*W23</f>
        <v>0</v>
      </c>
      <c r="U23">
        <f>COUNTIF(F:F,H23)*W23</f>
        <v>0</v>
      </c>
      <c r="V23">
        <f>COUNTIF(G:G,I23)*W23</f>
        <v>0</v>
      </c>
      <c r="W23" s="4"/>
      <c r="X23">
        <f>'טבלת עלויות'!T22*L23-'טבלת עלויות'!T22</f>
        <v>-14</v>
      </c>
    </row>
    <row r="24" spans="4:31" ht="15" thickBot="1" x14ac:dyDescent="0.35">
      <c r="D24" s="23">
        <v>22</v>
      </c>
      <c r="E24" s="23" t="s">
        <v>94</v>
      </c>
      <c r="F24" s="23" t="s">
        <v>137</v>
      </c>
      <c r="G24" s="23" t="s">
        <v>180</v>
      </c>
      <c r="H24" s="23" t="s">
        <v>223</v>
      </c>
      <c r="I24" s="23" t="s">
        <v>266</v>
      </c>
      <c r="J24" s="19" t="s">
        <v>38</v>
      </c>
      <c r="L24"/>
      <c r="M24" s="36"/>
      <c r="N24" s="4">
        <f>L24*1</f>
        <v>0</v>
      </c>
      <c r="O24" s="4"/>
      <c r="P24" s="4"/>
      <c r="Q24" s="4">
        <f>L24*0.05</f>
        <v>0</v>
      </c>
      <c r="R24">
        <f>COUNTIF(A:A,E24)*W24</f>
        <v>0</v>
      </c>
      <c r="S24">
        <f>COUNTIF(D:D,G24)*W24</f>
        <v>0</v>
      </c>
      <c r="T24">
        <f>COUNTIF(E:E,G24)*W24</f>
        <v>0</v>
      </c>
      <c r="U24">
        <f>COUNTIF(F:F,H24)*W24</f>
        <v>0</v>
      </c>
      <c r="V24">
        <f>COUNTIF(G:G,I24)*W24</f>
        <v>0</v>
      </c>
      <c r="W24" s="4"/>
      <c r="X24">
        <f>'טבלת עלויות'!T23*L24-'טבלת עלויות'!T23</f>
        <v>-27</v>
      </c>
    </row>
    <row r="25" spans="4:31" ht="15" thickBot="1" x14ac:dyDescent="0.35">
      <c r="D25" s="23">
        <v>23</v>
      </c>
      <c r="E25" s="23" t="s">
        <v>95</v>
      </c>
      <c r="F25" s="23" t="s">
        <v>138</v>
      </c>
      <c r="G25" s="23" t="s">
        <v>181</v>
      </c>
      <c r="H25" s="23" t="s">
        <v>224</v>
      </c>
      <c r="I25" s="23" t="s">
        <v>267</v>
      </c>
      <c r="J25" s="1" t="s">
        <v>39</v>
      </c>
      <c r="L25"/>
      <c r="M25" s="35">
        <f>L25*1.16</f>
        <v>0</v>
      </c>
      <c r="N25">
        <f t="shared" si="0"/>
        <v>0</v>
      </c>
      <c r="Q25" s="18">
        <f t="shared" ref="Q25:Q26" si="1">L25*0.05</f>
        <v>0</v>
      </c>
      <c r="R25">
        <f>COUNTIF(A:A,E25)*W25</f>
        <v>0</v>
      </c>
      <c r="S25">
        <f>COUNTIF(D:D,G25)*W25</f>
        <v>0</v>
      </c>
      <c r="T25">
        <f>COUNTIF(E:E,G25)*W25</f>
        <v>0</v>
      </c>
      <c r="U25">
        <f>COUNTIF(F:F,H25)*W25</f>
        <v>0</v>
      </c>
      <c r="V25">
        <f>COUNTIF(G:G,I25)*W25</f>
        <v>0</v>
      </c>
      <c r="W25">
        <v>5.8000000000000003E-2</v>
      </c>
      <c r="X25">
        <f>'טבלת עלויות'!T24*L25-'טבלת עלויות'!T24</f>
        <v>-105.271</v>
      </c>
    </row>
    <row r="26" spans="4:31" ht="15" thickBot="1" x14ac:dyDescent="0.35">
      <c r="D26" s="23">
        <v>24</v>
      </c>
      <c r="E26" s="23" t="s">
        <v>96</v>
      </c>
      <c r="F26" s="23" t="s">
        <v>139</v>
      </c>
      <c r="G26" s="23" t="s">
        <v>182</v>
      </c>
      <c r="H26" s="23" t="s">
        <v>225</v>
      </c>
      <c r="I26" s="23" t="s">
        <v>268</v>
      </c>
      <c r="J26" s="1" t="s">
        <v>40</v>
      </c>
      <c r="L26"/>
      <c r="M26" s="35">
        <f>L26*0.8</f>
        <v>0</v>
      </c>
      <c r="N26">
        <f>L26*0</f>
        <v>0</v>
      </c>
      <c r="Q26" s="18">
        <f t="shared" si="1"/>
        <v>0</v>
      </c>
      <c r="R26">
        <f>COUNTIF(A:A,E26)*W26</f>
        <v>0</v>
      </c>
      <c r="S26">
        <f>COUNTIF(D:D,G26)*W26</f>
        <v>0</v>
      </c>
      <c r="T26">
        <f>COUNTIF(E:E,G26)*W26</f>
        <v>0</v>
      </c>
      <c r="U26">
        <f>COUNTIF(F:F,H26)*W26</f>
        <v>0</v>
      </c>
      <c r="V26">
        <f>COUNTIF(G:G,I26)*W26</f>
        <v>0</v>
      </c>
      <c r="W26">
        <v>0.04</v>
      </c>
      <c r="X26">
        <f>'טבלת עלויות'!T25*L26-'טבלת עלויות'!T25</f>
        <v>-79.98</v>
      </c>
    </row>
    <row r="27" spans="4:31" ht="15" thickBot="1" x14ac:dyDescent="0.35">
      <c r="D27" s="23">
        <v>25</v>
      </c>
      <c r="E27" s="23" t="s">
        <v>97</v>
      </c>
      <c r="F27" s="23" t="s">
        <v>140</v>
      </c>
      <c r="G27" s="23" t="s">
        <v>183</v>
      </c>
      <c r="H27" s="23" t="s">
        <v>226</v>
      </c>
      <c r="I27" s="23" t="s">
        <v>269</v>
      </c>
      <c r="J27" s="19" t="s">
        <v>41</v>
      </c>
      <c r="L27"/>
      <c r="M27" s="36"/>
      <c r="N27" s="4">
        <f t="shared" si="0"/>
        <v>0</v>
      </c>
      <c r="O27" s="4"/>
      <c r="P27" s="4"/>
      <c r="Q27" s="4"/>
      <c r="R27">
        <f>COUNTIF(A:A,E27)*W27</f>
        <v>0</v>
      </c>
      <c r="S27">
        <f>COUNTIF(D:D,G27)*W27</f>
        <v>0</v>
      </c>
      <c r="T27">
        <f>COUNTIF(E:E,G27)*W27</f>
        <v>0</v>
      </c>
      <c r="U27">
        <f>COUNTIF(F:F,H27)*W27</f>
        <v>0</v>
      </c>
      <c r="V27">
        <f>COUNTIF(G:G,I27)*W27</f>
        <v>0</v>
      </c>
      <c r="W27" s="4"/>
      <c r="X27">
        <f>'טבלת עלויות'!T26*L27-'טבלת עלויות'!T26</f>
        <v>-14</v>
      </c>
    </row>
    <row r="28" spans="4:31" ht="15" thickBot="1" x14ac:dyDescent="0.35">
      <c r="D28" s="23">
        <v>26</v>
      </c>
      <c r="E28" s="23" t="s">
        <v>98</v>
      </c>
      <c r="F28" s="23" t="s">
        <v>141</v>
      </c>
      <c r="G28" s="23" t="s">
        <v>184</v>
      </c>
      <c r="H28" s="23" t="s">
        <v>227</v>
      </c>
      <c r="I28" s="23" t="s">
        <v>270</v>
      </c>
      <c r="J28" s="19" t="s">
        <v>42</v>
      </c>
      <c r="L28"/>
      <c r="M28" s="36"/>
      <c r="N28" s="4">
        <f>L28*1</f>
        <v>0</v>
      </c>
      <c r="O28" s="4"/>
      <c r="P28" s="4"/>
      <c r="Q28" s="4"/>
      <c r="R28">
        <f>COUNTIF(A:A,E28)*W28</f>
        <v>0</v>
      </c>
      <c r="S28">
        <f>COUNTIF(D:D,G28)*W28</f>
        <v>0</v>
      </c>
      <c r="T28">
        <f>COUNTIF(E:E,G28)*W28</f>
        <v>0</v>
      </c>
      <c r="U28">
        <f>COUNTIF(F:F,H28)*W28</f>
        <v>0</v>
      </c>
      <c r="V28">
        <f>COUNTIF(G:G,I28)*W28</f>
        <v>0</v>
      </c>
      <c r="W28" s="4"/>
      <c r="X28">
        <f>'טבלת עלויות'!T27*L28-'טבלת עלויות'!T27</f>
        <v>-14</v>
      </c>
    </row>
    <row r="29" spans="4:31" ht="15" thickBot="1" x14ac:dyDescent="0.35">
      <c r="D29" s="23">
        <v>27</v>
      </c>
      <c r="E29" s="23" t="s">
        <v>99</v>
      </c>
      <c r="F29" s="23" t="s">
        <v>142</v>
      </c>
      <c r="G29" s="23" t="s">
        <v>185</v>
      </c>
      <c r="H29" s="23" t="s">
        <v>228</v>
      </c>
      <c r="I29" s="23" t="s">
        <v>271</v>
      </c>
      <c r="J29" s="1" t="s">
        <v>43</v>
      </c>
      <c r="L29"/>
      <c r="M29" s="35">
        <f>L29*0.6</f>
        <v>0</v>
      </c>
      <c r="N29">
        <f>L29*0</f>
        <v>0</v>
      </c>
      <c r="P29">
        <f>L29*0.1</f>
        <v>0</v>
      </c>
      <c r="R29">
        <f>COUNTIF(A:A,E29)*W29</f>
        <v>0</v>
      </c>
      <c r="S29">
        <f>COUNTIF(D:D,G29)*W29</f>
        <v>0</v>
      </c>
      <c r="T29">
        <f>COUNTIF(E:E,G29)*W29</f>
        <v>0</v>
      </c>
      <c r="U29">
        <f>COUNTIF(F:F,H29)*W29</f>
        <v>0</v>
      </c>
      <c r="V29">
        <f>COUNTIF(G:G,I29)*W29</f>
        <v>0</v>
      </c>
      <c r="W29">
        <v>0.03</v>
      </c>
      <c r="X29">
        <f>'טבלת עלויות'!T28*L29-'טבלת עלויות'!T28</f>
        <v>-66.484999999999999</v>
      </c>
    </row>
    <row r="30" spans="4:31" ht="15" thickBot="1" x14ac:dyDescent="0.35">
      <c r="D30" s="23">
        <v>28</v>
      </c>
      <c r="E30" s="23" t="s">
        <v>100</v>
      </c>
      <c r="F30" s="23" t="s">
        <v>143</v>
      </c>
      <c r="G30" s="23" t="s">
        <v>186</v>
      </c>
      <c r="H30" s="23" t="s">
        <v>229</v>
      </c>
      <c r="I30" s="23" t="s">
        <v>272</v>
      </c>
      <c r="J30" s="1" t="s">
        <v>44</v>
      </c>
      <c r="L30"/>
      <c r="M30" s="35">
        <f>L30*0.58</f>
        <v>0</v>
      </c>
      <c r="N30">
        <f>L30*0</f>
        <v>0</v>
      </c>
      <c r="P30">
        <f>L30*0.1</f>
        <v>0</v>
      </c>
      <c r="R30">
        <f>COUNTIF(A:A,E30)*W30</f>
        <v>0</v>
      </c>
      <c r="S30">
        <f>COUNTIF(D:D,G30)*W30</f>
        <v>0</v>
      </c>
      <c r="T30">
        <f>COUNTIF(E:E,G30)*W30</f>
        <v>0</v>
      </c>
      <c r="U30">
        <f>COUNTIF(F:F,H30)*W30</f>
        <v>0</v>
      </c>
      <c r="V30">
        <f>COUNTIF(G:G,I30)*W30</f>
        <v>0</v>
      </c>
      <c r="W30">
        <v>2.9000000000000001E-2</v>
      </c>
      <c r="X30">
        <f>'טבלת עלויות'!T29*L30-'טבלת עלויות'!T29</f>
        <v>-65.135499999999993</v>
      </c>
    </row>
    <row r="31" spans="4:31" ht="15" thickBot="1" x14ac:dyDescent="0.35">
      <c r="D31" s="23">
        <v>29</v>
      </c>
      <c r="E31" s="23" t="s">
        <v>101</v>
      </c>
      <c r="F31" s="23" t="s">
        <v>144</v>
      </c>
      <c r="G31" s="23" t="s">
        <v>187</v>
      </c>
      <c r="H31" s="23" t="s">
        <v>230</v>
      </c>
      <c r="I31" s="23" t="s">
        <v>273</v>
      </c>
      <c r="J31" s="19" t="s">
        <v>45</v>
      </c>
      <c r="L31"/>
      <c r="M31" s="36"/>
      <c r="N31" s="4">
        <f>L31*1</f>
        <v>0</v>
      </c>
      <c r="O31" s="4"/>
      <c r="P31" s="4"/>
      <c r="Q31" s="4"/>
      <c r="R31">
        <f>COUNTIF(A:A,E31)*W31</f>
        <v>0</v>
      </c>
      <c r="S31">
        <f>COUNTIF(D:D,G31)*W31</f>
        <v>0</v>
      </c>
      <c r="T31">
        <f>COUNTIF(E:E,G31)*W31</f>
        <v>0</v>
      </c>
      <c r="U31">
        <f>COUNTIF(F:F,H31)*W31</f>
        <v>0</v>
      </c>
      <c r="V31">
        <f>COUNTIF(G:G,I31)*W31</f>
        <v>0</v>
      </c>
      <c r="W31" s="4"/>
      <c r="X31">
        <f>'טבלת עלויות'!T30*L31-'טבלת עלויות'!T30</f>
        <v>-14</v>
      </c>
    </row>
    <row r="32" spans="4:31" ht="29.4" thickBot="1" x14ac:dyDescent="0.35">
      <c r="D32" s="23">
        <v>30</v>
      </c>
      <c r="E32" s="23" t="s">
        <v>102</v>
      </c>
      <c r="F32" s="23" t="s">
        <v>145</v>
      </c>
      <c r="G32" s="23" t="s">
        <v>188</v>
      </c>
      <c r="H32" s="23" t="s">
        <v>231</v>
      </c>
      <c r="I32" s="23" t="s">
        <v>274</v>
      </c>
      <c r="J32" s="20" t="s">
        <v>46</v>
      </c>
      <c r="L32"/>
      <c r="M32" s="36"/>
      <c r="N32" s="4">
        <f t="shared" si="0"/>
        <v>0</v>
      </c>
      <c r="O32" s="4"/>
      <c r="P32" s="4"/>
      <c r="Q32" s="4"/>
      <c r="R32">
        <f>COUNTIF(A:A,E32)*W32</f>
        <v>0</v>
      </c>
      <c r="S32">
        <f>COUNTIF(D:D,G32)*W32</f>
        <v>0</v>
      </c>
      <c r="T32">
        <f>COUNTIF(E:E,G32)*W32</f>
        <v>0</v>
      </c>
      <c r="U32">
        <f>COUNTIF(F:F,H32)*W32</f>
        <v>0</v>
      </c>
      <c r="V32">
        <f>COUNTIF(G:G,I32)*W32</f>
        <v>0</v>
      </c>
      <c r="W32" s="4"/>
      <c r="X32">
        <f>'טבלת עלויות'!T31*L32-'טבלת עלויות'!T31</f>
        <v>-14</v>
      </c>
    </row>
    <row r="33" spans="4:24" ht="15" thickBot="1" x14ac:dyDescent="0.35">
      <c r="D33" s="23">
        <v>31</v>
      </c>
      <c r="E33" s="23" t="s">
        <v>103</v>
      </c>
      <c r="F33" s="23" t="s">
        <v>146</v>
      </c>
      <c r="G33" s="23" t="s">
        <v>189</v>
      </c>
      <c r="H33" s="23" t="s">
        <v>232</v>
      </c>
      <c r="I33" s="23" t="s">
        <v>275</v>
      </c>
      <c r="J33" s="1" t="s">
        <v>47</v>
      </c>
      <c r="L33"/>
      <c r="M33" s="35">
        <f>L33*0.4</f>
        <v>0</v>
      </c>
      <c r="O33">
        <f>L33*2</f>
        <v>0</v>
      </c>
      <c r="R33">
        <f>COUNTIF(A:A,E33)*W33</f>
        <v>0</v>
      </c>
      <c r="S33">
        <f>COUNTIF(D:D,G33)*W33</f>
        <v>0</v>
      </c>
      <c r="T33">
        <f>COUNTIF(E:E,G33)*W33</f>
        <v>0</v>
      </c>
      <c r="U33">
        <f>COUNTIF(F:F,H33)*W33</f>
        <v>0</v>
      </c>
      <c r="V33">
        <f>COUNTIF(G:G,I33)*W33</f>
        <v>0</v>
      </c>
      <c r="W33">
        <v>0.02</v>
      </c>
      <c r="X33">
        <f>'טבלת עלויות'!T32*L33-'טבלת עלויות'!T32</f>
        <v>-60.989999999999995</v>
      </c>
    </row>
    <row r="34" spans="4:24" ht="29.4" thickBot="1" x14ac:dyDescent="0.35">
      <c r="D34" s="23">
        <v>32</v>
      </c>
      <c r="E34" s="23" t="s">
        <v>104</v>
      </c>
      <c r="F34" s="23" t="s">
        <v>147</v>
      </c>
      <c r="G34" s="23" t="s">
        <v>190</v>
      </c>
      <c r="H34" s="23" t="s">
        <v>233</v>
      </c>
      <c r="I34" s="23" t="s">
        <v>276</v>
      </c>
      <c r="J34" s="2" t="s">
        <v>48</v>
      </c>
      <c r="L34"/>
      <c r="M34" s="35">
        <f>L34*0.96</f>
        <v>0</v>
      </c>
      <c r="O34">
        <f t="shared" ref="O34:O43" si="2">L34*2</f>
        <v>0</v>
      </c>
      <c r="R34">
        <f>COUNTIF(A:A,E34)*W34</f>
        <v>0</v>
      </c>
      <c r="S34">
        <f>COUNTIF(D:D,G34)*W34</f>
        <v>0</v>
      </c>
      <c r="T34">
        <f>COUNTIF(E:E,G34)*W34</f>
        <v>0</v>
      </c>
      <c r="U34">
        <f>COUNTIF(F:F,H34)*W34</f>
        <v>0</v>
      </c>
      <c r="V34">
        <f>COUNTIF(G:G,I34)*W34</f>
        <v>0</v>
      </c>
      <c r="W34">
        <v>4.8000000000000001E-2</v>
      </c>
      <c r="X34">
        <f>'טבלת עלויות'!T33*L34-'טבלת עלויות'!T33</f>
        <v>-98.77600000000001</v>
      </c>
    </row>
    <row r="35" spans="4:24" ht="29.4" thickBot="1" x14ac:dyDescent="0.35">
      <c r="D35" s="23">
        <v>33</v>
      </c>
      <c r="E35" s="23" t="s">
        <v>105</v>
      </c>
      <c r="F35" s="23" t="s">
        <v>148</v>
      </c>
      <c r="G35" s="23" t="s">
        <v>191</v>
      </c>
      <c r="H35" s="23" t="s">
        <v>234</v>
      </c>
      <c r="I35" s="23" t="s">
        <v>277</v>
      </c>
      <c r="J35" s="20" t="s">
        <v>49</v>
      </c>
      <c r="L35"/>
      <c r="M35" s="36"/>
      <c r="N35" s="4"/>
      <c r="O35">
        <f t="shared" si="2"/>
        <v>0</v>
      </c>
      <c r="P35" s="4"/>
      <c r="Q35" s="4"/>
      <c r="R35">
        <f>COUNTIF(A:A,E35)*W35</f>
        <v>0</v>
      </c>
      <c r="S35">
        <f>COUNTIF(D:D,G35)*W35</f>
        <v>0</v>
      </c>
      <c r="T35">
        <f>COUNTIF(E:E,G35)*W35</f>
        <v>0</v>
      </c>
      <c r="U35">
        <f>COUNTIF(F:F,H35)*W35</f>
        <v>0</v>
      </c>
      <c r="V35">
        <f>COUNTIF(G:G,I35)*W35</f>
        <v>0</v>
      </c>
      <c r="W35" s="4"/>
      <c r="X35">
        <f>'טבלת עלויות'!T34*L35-'טבלת עלויות'!T34</f>
        <v>-52.8</v>
      </c>
    </row>
    <row r="36" spans="4:24" ht="15" thickBot="1" x14ac:dyDescent="0.35">
      <c r="D36" s="23">
        <v>34</v>
      </c>
      <c r="E36" s="23" t="s">
        <v>106</v>
      </c>
      <c r="F36" s="23" t="s">
        <v>149</v>
      </c>
      <c r="G36" s="23" t="s">
        <v>192</v>
      </c>
      <c r="H36" s="23" t="s">
        <v>235</v>
      </c>
      <c r="I36" s="23" t="s">
        <v>278</v>
      </c>
      <c r="J36" s="1" t="s">
        <v>50</v>
      </c>
      <c r="L36"/>
      <c r="M36" s="35">
        <f>L36*0.6</f>
        <v>0</v>
      </c>
      <c r="O36">
        <f t="shared" si="2"/>
        <v>0</v>
      </c>
      <c r="R36">
        <f>COUNTIF(A:A,E36)*W36</f>
        <v>0</v>
      </c>
      <c r="S36">
        <f>COUNTIF(D:D,G36)*W36</f>
        <v>0</v>
      </c>
      <c r="T36">
        <f>COUNTIF(E:E,G36)*W36</f>
        <v>0</v>
      </c>
      <c r="U36">
        <f>COUNTIF(F:F,H36)*W36</f>
        <v>0</v>
      </c>
      <c r="V36">
        <f>COUNTIF(G:G,I36)*W36</f>
        <v>0</v>
      </c>
      <c r="W36">
        <v>0.03</v>
      </c>
      <c r="X36">
        <f>'טבלת עלויות'!T35*L36-'טבלת עלויות'!T35</f>
        <v>-74.484999999999999</v>
      </c>
    </row>
    <row r="37" spans="4:24" ht="15" thickBot="1" x14ac:dyDescent="0.35">
      <c r="D37" s="23">
        <v>35</v>
      </c>
      <c r="E37" s="23" t="s">
        <v>107</v>
      </c>
      <c r="F37" s="23" t="s">
        <v>150</v>
      </c>
      <c r="G37" s="23" t="s">
        <v>193</v>
      </c>
      <c r="H37" s="23" t="s">
        <v>236</v>
      </c>
      <c r="I37" s="23" t="s">
        <v>279</v>
      </c>
      <c r="J37" s="19" t="s">
        <v>51</v>
      </c>
      <c r="L37"/>
      <c r="M37" s="36"/>
      <c r="N37" s="4"/>
      <c r="O37">
        <f t="shared" si="2"/>
        <v>0</v>
      </c>
      <c r="P37" s="4"/>
      <c r="Q37" s="4"/>
      <c r="R37">
        <f>COUNTIF(A:A,E37)*W37</f>
        <v>0</v>
      </c>
      <c r="S37">
        <f>COUNTIF(D:D,G37)*W37</f>
        <v>0</v>
      </c>
      <c r="T37">
        <f>COUNTIF(E:E,G37)*W37</f>
        <v>0</v>
      </c>
      <c r="U37">
        <f>COUNTIF(F:F,H37)*W37</f>
        <v>0</v>
      </c>
      <c r="V37">
        <f>COUNTIF(G:G,I37)*W37</f>
        <v>0</v>
      </c>
      <c r="W37" s="4"/>
      <c r="X37">
        <f>'טבלת עלויות'!T36*L37-'טבלת עלויות'!T36</f>
        <v>-57.5</v>
      </c>
    </row>
    <row r="38" spans="4:24" ht="15" thickBot="1" x14ac:dyDescent="0.35">
      <c r="D38" s="23">
        <v>36</v>
      </c>
      <c r="E38" s="23" t="s">
        <v>108</v>
      </c>
      <c r="F38" s="23" t="s">
        <v>151</v>
      </c>
      <c r="G38" s="23" t="s">
        <v>194</v>
      </c>
      <c r="H38" s="23" t="s">
        <v>237</v>
      </c>
      <c r="I38" s="23" t="s">
        <v>280</v>
      </c>
      <c r="J38" s="1" t="s">
        <v>52</v>
      </c>
      <c r="L38"/>
      <c r="M38" s="35">
        <f>L38*1.12</f>
        <v>0</v>
      </c>
      <c r="O38">
        <f t="shared" si="2"/>
        <v>0</v>
      </c>
      <c r="R38">
        <f>COUNTIF(A:A,E38)*W38</f>
        <v>0</v>
      </c>
      <c r="S38">
        <f>COUNTIF(D:D,G38)*W38</f>
        <v>0</v>
      </c>
      <c r="T38">
        <f>COUNTIF(E:E,G38)*W38</f>
        <v>0</v>
      </c>
      <c r="U38">
        <f>COUNTIF(F:F,H38)*W38</f>
        <v>0</v>
      </c>
      <c r="V38">
        <f>COUNTIF(G:G,I38)*W38</f>
        <v>0</v>
      </c>
      <c r="W38">
        <v>5.6000000000000001E-2</v>
      </c>
      <c r="X38">
        <f>'טבלת עלויות'!T37*L38-'טבלת עלויות'!T37</f>
        <v>-109.57200000000002</v>
      </c>
    </row>
    <row r="39" spans="4:24" ht="15" thickBot="1" x14ac:dyDescent="0.35">
      <c r="D39" s="23">
        <v>37</v>
      </c>
      <c r="E39" s="23" t="s">
        <v>109</v>
      </c>
      <c r="F39" s="23" t="s">
        <v>152</v>
      </c>
      <c r="G39" s="23" t="s">
        <v>195</v>
      </c>
      <c r="H39" s="23" t="s">
        <v>238</v>
      </c>
      <c r="I39" s="23" t="s">
        <v>281</v>
      </c>
      <c r="J39" s="1" t="s">
        <v>53</v>
      </c>
      <c r="L39"/>
      <c r="M39" s="35">
        <f>L39*0.34</f>
        <v>0</v>
      </c>
      <c r="O39">
        <f t="shared" si="2"/>
        <v>0</v>
      </c>
      <c r="R39">
        <f>COUNTIF(A:A,E39)*W39</f>
        <v>0</v>
      </c>
      <c r="S39">
        <f>COUNTIF(D:D,G39)*W39</f>
        <v>0</v>
      </c>
      <c r="T39">
        <f>COUNTIF(E:E,G39)*W39</f>
        <v>0</v>
      </c>
      <c r="U39">
        <f>COUNTIF(F:F,H39)*W39</f>
        <v>0</v>
      </c>
      <c r="V39">
        <f>COUNTIF(G:G,I39)*W39</f>
        <v>0</v>
      </c>
      <c r="W39">
        <v>1.7000000000000001E-2</v>
      </c>
      <c r="X39">
        <f>'טבלת עלויות'!T38*L39-'טבלת עלויות'!T38</f>
        <v>-56.941500000000005</v>
      </c>
    </row>
    <row r="40" spans="4:24" ht="15" thickBot="1" x14ac:dyDescent="0.35">
      <c r="D40" s="23">
        <v>38</v>
      </c>
      <c r="E40" s="23" t="s">
        <v>110</v>
      </c>
      <c r="F40" s="23" t="s">
        <v>153</v>
      </c>
      <c r="G40" s="23" t="s">
        <v>196</v>
      </c>
      <c r="H40" s="23" t="s">
        <v>239</v>
      </c>
      <c r="I40" s="23" t="s">
        <v>282</v>
      </c>
      <c r="J40" s="1" t="s">
        <v>54</v>
      </c>
      <c r="L40"/>
      <c r="M40" s="35">
        <f>L40*0.52</f>
        <v>0</v>
      </c>
      <c r="O40">
        <f t="shared" si="2"/>
        <v>0</v>
      </c>
      <c r="R40">
        <f>COUNTIF(A:A,E40)*W40</f>
        <v>0</v>
      </c>
      <c r="S40">
        <f>COUNTIF(D:D,G40)*W40</f>
        <v>0</v>
      </c>
      <c r="T40">
        <f>COUNTIF(E:E,G40)*W40</f>
        <v>0</v>
      </c>
      <c r="U40">
        <f>COUNTIF(F:F,H40)*W40</f>
        <v>0</v>
      </c>
      <c r="V40">
        <f>COUNTIF(G:G,I40)*W40</f>
        <v>0</v>
      </c>
      <c r="W40">
        <v>2.5999999999999999E-2</v>
      </c>
      <c r="X40">
        <f>'טבלת עלויות'!T39*L40-'טבלת עלויות'!T39</f>
        <v>-69.087000000000003</v>
      </c>
    </row>
    <row r="41" spans="4:24" ht="15" thickBot="1" x14ac:dyDescent="0.35">
      <c r="D41" s="23">
        <v>39</v>
      </c>
      <c r="E41" s="23" t="s">
        <v>111</v>
      </c>
      <c r="F41" s="23" t="s">
        <v>154</v>
      </c>
      <c r="G41" s="23" t="s">
        <v>197</v>
      </c>
      <c r="H41" s="23" t="s">
        <v>240</v>
      </c>
      <c r="I41" s="23" t="s">
        <v>283</v>
      </c>
      <c r="J41" s="19" t="s">
        <v>55</v>
      </c>
      <c r="L41"/>
      <c r="M41" s="36"/>
      <c r="N41" s="4"/>
      <c r="O41">
        <f t="shared" si="2"/>
        <v>0</v>
      </c>
      <c r="P41" s="4"/>
      <c r="Q41" s="4"/>
      <c r="R41">
        <f>COUNTIF(A:A,E41)*W41</f>
        <v>0</v>
      </c>
      <c r="S41">
        <f>COUNTIF(D:D,G41)*W41</f>
        <v>0</v>
      </c>
      <c r="T41">
        <f>COUNTIF(E:E,G41)*W41</f>
        <v>0</v>
      </c>
      <c r="U41">
        <f>COUNTIF(F:F,H41)*W41</f>
        <v>0</v>
      </c>
      <c r="V41">
        <f>COUNTIF(G:G,I41)*W41</f>
        <v>0</v>
      </c>
      <c r="W41" s="4"/>
      <c r="X41">
        <f>'טבלת עלויות'!T40*L41-'טבלת עלויות'!T40</f>
        <v>0</v>
      </c>
    </row>
    <row r="42" spans="4:24" ht="15" thickBot="1" x14ac:dyDescent="0.35">
      <c r="D42" s="23">
        <v>40</v>
      </c>
      <c r="E42" s="23" t="s">
        <v>112</v>
      </c>
      <c r="F42" s="23" t="s">
        <v>155</v>
      </c>
      <c r="G42" s="23" t="s">
        <v>198</v>
      </c>
      <c r="H42" s="23" t="s">
        <v>241</v>
      </c>
      <c r="I42" s="23" t="s">
        <v>284</v>
      </c>
      <c r="J42" s="1" t="s">
        <v>56</v>
      </c>
      <c r="L42"/>
      <c r="M42" s="35">
        <f>L42*1.04</f>
        <v>0</v>
      </c>
      <c r="O42">
        <f t="shared" si="2"/>
        <v>0</v>
      </c>
      <c r="R42">
        <f>COUNTIF(A:A,E42)*W42</f>
        <v>0</v>
      </c>
      <c r="S42">
        <f>COUNTIF(D:D,G42)*W42</f>
        <v>0</v>
      </c>
      <c r="T42">
        <f>COUNTIF(E:E,G42)*W42</f>
        <v>0</v>
      </c>
      <c r="U42">
        <f>COUNTIF(F:F,H42)*W42</f>
        <v>0</v>
      </c>
      <c r="V42">
        <f>COUNTIF(G:G,I42)*W42</f>
        <v>0</v>
      </c>
      <c r="W42">
        <v>5.1999999999999998E-2</v>
      </c>
      <c r="X42">
        <f>'טבלת עלויות'!T41*L42-'טבלת עלויות'!T41</f>
        <v>-104.17399999999999</v>
      </c>
    </row>
    <row r="43" spans="4:24" ht="15" thickBot="1" x14ac:dyDescent="0.35">
      <c r="D43" s="23">
        <v>41</v>
      </c>
      <c r="E43" s="23" t="s">
        <v>113</v>
      </c>
      <c r="F43" s="23" t="s">
        <v>156</v>
      </c>
      <c r="G43" s="23" t="s">
        <v>199</v>
      </c>
      <c r="H43" s="23" t="s">
        <v>242</v>
      </c>
      <c r="I43" s="23" t="s">
        <v>285</v>
      </c>
      <c r="J43" s="1" t="s">
        <v>57</v>
      </c>
      <c r="L43"/>
      <c r="M43" s="35">
        <f>L43*0</f>
        <v>0</v>
      </c>
      <c r="O43">
        <f t="shared" si="2"/>
        <v>0</v>
      </c>
      <c r="R43">
        <f>COUNTIF(A:A,E43)*W43</f>
        <v>0</v>
      </c>
      <c r="S43">
        <f>COUNTIF(D:D,G43)*W43</f>
        <v>0</v>
      </c>
      <c r="T43">
        <f>COUNTIF(E:E,G43)*W43</f>
        <v>0</v>
      </c>
      <c r="U43">
        <f>COUNTIF(F:F,H43)*W43</f>
        <v>0</v>
      </c>
      <c r="V43">
        <f>COUNTIF(G:G,I43)*W43</f>
        <v>0</v>
      </c>
      <c r="W43">
        <v>0.1</v>
      </c>
      <c r="X43">
        <f>'טבלת עלויות'!T42*L43-'טבלת עלויות'!T42</f>
        <v>0</v>
      </c>
    </row>
    <row r="44" spans="4:24" ht="29.4" thickBot="1" x14ac:dyDescent="0.35">
      <c r="D44" s="23">
        <v>42</v>
      </c>
      <c r="E44" s="23" t="s">
        <v>114</v>
      </c>
      <c r="F44" s="23" t="s">
        <v>157</v>
      </c>
      <c r="G44" s="23" t="s">
        <v>200</v>
      </c>
      <c r="H44" s="23" t="s">
        <v>243</v>
      </c>
      <c r="I44" s="23" t="s">
        <v>286</v>
      </c>
      <c r="J44" s="2" t="s">
        <v>58</v>
      </c>
      <c r="L44"/>
      <c r="M44" s="35">
        <f>L44*0</f>
        <v>0</v>
      </c>
      <c r="R44">
        <f>COUNTIF(A:A,E44)*0</f>
        <v>0</v>
      </c>
      <c r="S44">
        <f>COUNTIF(D:D,G44)*W44</f>
        <v>0</v>
      </c>
      <c r="T44">
        <f>COUNTIF(E:E,G44)*W44</f>
        <v>0</v>
      </c>
      <c r="U44">
        <f>COUNTIF(F:F,H44)*W44</f>
        <v>0</v>
      </c>
      <c r="V44">
        <f>COUNTIF(G:G,I44)*W44</f>
        <v>0</v>
      </c>
      <c r="W44">
        <v>0.1</v>
      </c>
      <c r="X44">
        <f>'טבלת עלויות'!T43*L44-'טבלת עלויות'!T43</f>
        <v>0</v>
      </c>
    </row>
    <row r="45" spans="4:24" ht="15" thickBot="1" x14ac:dyDescent="0.35">
      <c r="D45" s="23">
        <v>43</v>
      </c>
      <c r="E45" s="23" t="s">
        <v>115</v>
      </c>
      <c r="F45" s="23" t="s">
        <v>158</v>
      </c>
      <c r="G45" s="23" t="s">
        <v>201</v>
      </c>
      <c r="H45" s="23" t="s">
        <v>244</v>
      </c>
      <c r="I45" s="23" t="s">
        <v>287</v>
      </c>
      <c r="J45" s="1" t="s">
        <v>59</v>
      </c>
      <c r="L45"/>
      <c r="M45" s="35">
        <f>L45*0</f>
        <v>0</v>
      </c>
      <c r="R45">
        <f>COUNTIF(A:A,E45)*0</f>
        <v>0</v>
      </c>
      <c r="S45">
        <f>COUNTIF(D:D,G45)*W45</f>
        <v>0</v>
      </c>
      <c r="T45">
        <f>COUNTIF(E:E,G45)*W45</f>
        <v>0</v>
      </c>
      <c r="U45">
        <f>COUNTIF(F:F,H45)*W45</f>
        <v>0</v>
      </c>
      <c r="V45">
        <f>COUNTIF(G:G,I45)*W45</f>
        <v>0</v>
      </c>
      <c r="W45">
        <v>0.1</v>
      </c>
      <c r="X45">
        <f>'טבלת עלויות'!T44*L45-'טבלת עלויות'!T44</f>
        <v>0</v>
      </c>
    </row>
    <row r="46" spans="4:24" ht="15" thickBot="1" x14ac:dyDescent="0.35">
      <c r="D46" s="23">
        <v>44</v>
      </c>
      <c r="H46" s="23" t="s">
        <v>294</v>
      </c>
      <c r="N46">
        <f t="shared" si="0"/>
        <v>0</v>
      </c>
      <c r="X46">
        <f>'טבלת עלויות'!T45*L46-'טבלת עלויות'!T45</f>
        <v>0</v>
      </c>
    </row>
    <row r="47" spans="4:24" ht="15" thickBot="1" x14ac:dyDescent="0.35">
      <c r="J47" s="34"/>
      <c r="K47"/>
      <c r="N47">
        <f t="shared" si="0"/>
        <v>0</v>
      </c>
      <c r="X47">
        <f>'טבלת עלויות'!T46*L47-'טבלת עלויות'!T46</f>
        <v>0</v>
      </c>
    </row>
    <row r="48" spans="4:24" ht="15" thickBot="1" x14ac:dyDescent="0.35">
      <c r="K48"/>
      <c r="L48"/>
      <c r="N48">
        <f t="shared" si="0"/>
        <v>0</v>
      </c>
    </row>
    <row r="49" spans="11:14" ht="15" thickBot="1" x14ac:dyDescent="0.35">
      <c r="K49"/>
      <c r="N49">
        <f t="shared" si="0"/>
        <v>0</v>
      </c>
    </row>
  </sheetData>
  <conditionalFormatting sqref="AC12">
    <cfRule type="cellIs" dxfId="25" priority="4" operator="greaterThan">
      <formula>6</formula>
    </cfRule>
    <cfRule type="cellIs" dxfId="24" priority="11" operator="lessThan">
      <formula>4</formula>
    </cfRule>
    <cfRule type="cellIs" dxfId="23" priority="12" operator="between">
      <formula>6.9</formula>
      <formula>4</formula>
    </cfRule>
    <cfRule type="cellIs" dxfId="22" priority="13" operator="greaterThan">
      <formula>7</formula>
    </cfRule>
  </conditionalFormatting>
  <conditionalFormatting sqref="AA6">
    <cfRule type="cellIs" dxfId="21" priority="8" operator="lessThan">
      <formula>50</formula>
    </cfRule>
    <cfRule type="cellIs" dxfId="20" priority="9" operator="between">
      <formula>100</formula>
      <formula>51</formula>
    </cfRule>
    <cfRule type="cellIs" dxfId="19" priority="10" operator="greaterThan">
      <formula>101</formula>
    </cfRule>
  </conditionalFormatting>
  <conditionalFormatting sqref="AC6">
    <cfRule type="cellIs" dxfId="18" priority="5" operator="lessThan">
      <formula>50</formula>
    </cfRule>
    <cfRule type="cellIs" dxfId="17" priority="6" operator="between">
      <formula>100</formula>
      <formula>50</formula>
    </cfRule>
    <cfRule type="cellIs" dxfId="16" priority="7" operator="greaterThan">
      <formula>100</formula>
    </cfRule>
  </conditionalFormatting>
  <conditionalFormatting sqref="AA12">
    <cfRule type="cellIs" dxfId="15" priority="1" operator="lessThan">
      <formula>50</formula>
    </cfRule>
    <cfRule type="cellIs" dxfId="14" priority="2" operator="between">
      <formula>100</formula>
      <formula>51</formula>
    </cfRule>
    <cfRule type="cellIs" dxfId="13" priority="3" operator="greaterThan">
      <formula>101</formula>
    </cfRule>
  </conditionalFormatting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267D4C-C54C-4162-8B16-7408A1F0A7F1}">
  <dimension ref="A1:X48"/>
  <sheetViews>
    <sheetView rightToLeft="1" zoomScale="89" workbookViewId="0">
      <pane xSplit="1" ySplit="1" topLeftCell="E2" activePane="bottomRight" state="frozen"/>
      <selection pane="topRight" activeCell="B1" sqref="B1"/>
      <selection pane="bottomLeft" activeCell="A2" sqref="A2"/>
      <selection pane="bottomRight" activeCell="U13" sqref="U13"/>
    </sheetView>
  </sheetViews>
  <sheetFormatPr defaultRowHeight="14.4" x14ac:dyDescent="0.3"/>
  <cols>
    <col min="3" max="3" width="14.44140625" customWidth="1"/>
    <col min="6" max="6" width="9.44140625" bestFit="1" customWidth="1"/>
    <col min="7" max="8" width="9.6640625" bestFit="1" customWidth="1"/>
    <col min="10" max="11" width="9" bestFit="1" customWidth="1"/>
    <col min="12" max="12" width="14" customWidth="1"/>
    <col min="13" max="13" width="12.44140625" customWidth="1"/>
    <col min="14" max="15" width="9" bestFit="1" customWidth="1"/>
    <col min="16" max="16" width="14.44140625" customWidth="1"/>
    <col min="17" max="17" width="11" customWidth="1"/>
    <col min="18" max="19" width="9" bestFit="1" customWidth="1"/>
    <col min="20" max="22" width="9.6640625" bestFit="1" customWidth="1"/>
    <col min="24" max="24" width="9.44140625" bestFit="1" customWidth="1"/>
  </cols>
  <sheetData>
    <row r="1" spans="1:22" ht="57.6" x14ac:dyDescent="0.3">
      <c r="A1" t="s">
        <v>0</v>
      </c>
      <c r="B1" t="s">
        <v>60</v>
      </c>
      <c r="C1" s="5" t="s">
        <v>61</v>
      </c>
      <c r="D1" s="5" t="s">
        <v>62</v>
      </c>
      <c r="E1" t="s">
        <v>63</v>
      </c>
      <c r="F1" s="2" t="s">
        <v>64</v>
      </c>
      <c r="G1" s="2" t="s">
        <v>65</v>
      </c>
      <c r="H1" t="s">
        <v>66</v>
      </c>
      <c r="I1" s="1"/>
      <c r="J1">
        <v>200</v>
      </c>
      <c r="K1" s="1" t="s">
        <v>0</v>
      </c>
      <c r="L1" s="1" t="s">
        <v>1</v>
      </c>
      <c r="M1" s="1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 t="s">
        <v>7</v>
      </c>
      <c r="S1" s="2" t="s">
        <v>8</v>
      </c>
      <c r="T1" t="s">
        <v>67</v>
      </c>
      <c r="U1" s="2" t="s">
        <v>297</v>
      </c>
      <c r="V1" s="2" t="s">
        <v>296</v>
      </c>
    </row>
    <row r="2" spans="1:22" x14ac:dyDescent="0.3">
      <c r="A2">
        <v>1</v>
      </c>
      <c r="C2" s="8">
        <v>47</v>
      </c>
      <c r="D2" s="8">
        <v>14</v>
      </c>
      <c r="E2" s="8">
        <v>17</v>
      </c>
      <c r="F2" s="8">
        <v>260</v>
      </c>
      <c r="G2" s="8">
        <v>260</v>
      </c>
      <c r="H2" s="8">
        <v>409.5</v>
      </c>
      <c r="K2">
        <v>1</v>
      </c>
      <c r="L2" t="s">
        <v>12</v>
      </c>
      <c r="M2">
        <f t="shared" ref="M2:M44" si="0">COUNTIF(A:A,K2)</f>
        <v>1</v>
      </c>
      <c r="N2">
        <f>M2*0.2</f>
        <v>0.2</v>
      </c>
      <c r="O2">
        <f>M2*1</f>
        <v>1</v>
      </c>
      <c r="P2">
        <v>0</v>
      </c>
      <c r="Q2">
        <v>0</v>
      </c>
      <c r="R2">
        <v>0</v>
      </c>
      <c r="S2">
        <f>M2*0.01</f>
        <v>0.01</v>
      </c>
      <c r="T2" s="8">
        <f>(N2*$C$2+O2*$D$2+P2*$E$2+Q2*$F$2+R2*$G$2+S2*$H$2)</f>
        <v>27.494999999999997</v>
      </c>
      <c r="U2" s="8">
        <f>M2*80</f>
        <v>80</v>
      </c>
      <c r="V2" s="8">
        <f>M2*45</f>
        <v>45</v>
      </c>
    </row>
    <row r="3" spans="1:22" x14ac:dyDescent="0.3">
      <c r="A3">
        <v>2</v>
      </c>
      <c r="K3">
        <v>2</v>
      </c>
      <c r="L3" t="s">
        <v>13</v>
      </c>
      <c r="M3">
        <f t="shared" si="0"/>
        <v>1</v>
      </c>
      <c r="N3">
        <f>M3*0.4</f>
        <v>0.4</v>
      </c>
      <c r="O3">
        <f>M3*2</f>
        <v>2</v>
      </c>
      <c r="P3">
        <v>0</v>
      </c>
      <c r="Q3">
        <v>0</v>
      </c>
      <c r="R3">
        <v>0</v>
      </c>
      <c r="S3">
        <f>M3*0.02</f>
        <v>0.02</v>
      </c>
      <c r="T3" s="8">
        <f t="shared" ref="T3:T39" si="1">(N3*$C$2+O3*$D$2+P3*$E$2+Q3*$F$2+R3*$G$2+S3*$H$2)</f>
        <v>54.989999999999995</v>
      </c>
      <c r="U3" s="8">
        <f>M3*135</f>
        <v>135</v>
      </c>
      <c r="V3" s="8">
        <f>M3*90</f>
        <v>90</v>
      </c>
    </row>
    <row r="4" spans="1:22" x14ac:dyDescent="0.3">
      <c r="A4">
        <v>3</v>
      </c>
      <c r="K4">
        <v>3</v>
      </c>
      <c r="L4" t="s">
        <v>14</v>
      </c>
      <c r="M4">
        <f t="shared" si="0"/>
        <v>1</v>
      </c>
      <c r="N4">
        <f>M4*0.48</f>
        <v>0.48</v>
      </c>
      <c r="O4">
        <f>M4*1</f>
        <v>1</v>
      </c>
      <c r="P4">
        <v>0</v>
      </c>
      <c r="Q4">
        <v>0</v>
      </c>
      <c r="R4">
        <v>0</v>
      </c>
      <c r="S4">
        <f>M4*0.024</f>
        <v>2.4E-2</v>
      </c>
      <c r="T4" s="8">
        <f t="shared" si="1"/>
        <v>46.388000000000005</v>
      </c>
      <c r="U4" s="8">
        <f>M4*100</f>
        <v>100</v>
      </c>
      <c r="V4" s="8">
        <f>M4*55</f>
        <v>55</v>
      </c>
    </row>
    <row r="5" spans="1:22" x14ac:dyDescent="0.3">
      <c r="A5">
        <v>4</v>
      </c>
      <c r="K5">
        <v>4</v>
      </c>
      <c r="L5" t="s">
        <v>15</v>
      </c>
      <c r="M5">
        <f t="shared" si="0"/>
        <v>1</v>
      </c>
      <c r="N5">
        <f>M5*0.96</f>
        <v>0.96</v>
      </c>
      <c r="O5">
        <f>M5*2</f>
        <v>2</v>
      </c>
      <c r="P5">
        <v>0</v>
      </c>
      <c r="Q5">
        <v>0</v>
      </c>
      <c r="R5">
        <v>0</v>
      </c>
      <c r="S5">
        <f>M5*0.048</f>
        <v>4.8000000000000001E-2</v>
      </c>
      <c r="T5" s="8">
        <f t="shared" si="1"/>
        <v>92.77600000000001</v>
      </c>
      <c r="U5" s="8">
        <f>M5*175</f>
        <v>175</v>
      </c>
      <c r="V5" s="8">
        <f>M5*110</f>
        <v>110</v>
      </c>
    </row>
    <row r="6" spans="1:22" x14ac:dyDescent="0.3">
      <c r="A6">
        <v>5</v>
      </c>
      <c r="I6" s="4"/>
      <c r="K6">
        <v>5</v>
      </c>
      <c r="L6" s="4" t="s">
        <v>16</v>
      </c>
      <c r="M6">
        <f t="shared" si="0"/>
        <v>1</v>
      </c>
      <c r="O6">
        <f>M6*1</f>
        <v>1</v>
      </c>
      <c r="P6">
        <v>0</v>
      </c>
      <c r="Q6">
        <v>0</v>
      </c>
      <c r="R6">
        <v>0</v>
      </c>
      <c r="S6" s="4"/>
      <c r="T6" s="8">
        <f t="shared" si="1"/>
        <v>14</v>
      </c>
      <c r="U6" s="8">
        <f>M6*130</f>
        <v>130</v>
      </c>
      <c r="V6" s="8">
        <f>M6*70</f>
        <v>70</v>
      </c>
    </row>
    <row r="7" spans="1:22" x14ac:dyDescent="0.3">
      <c r="A7">
        <v>6</v>
      </c>
      <c r="I7" s="4"/>
      <c r="K7">
        <v>6</v>
      </c>
      <c r="L7" s="4" t="s">
        <v>17</v>
      </c>
      <c r="M7">
        <f>COUNTIF(A:A,K7)</f>
        <v>1</v>
      </c>
      <c r="O7">
        <f>M7*2</f>
        <v>2</v>
      </c>
      <c r="P7">
        <v>0</v>
      </c>
      <c r="Q7">
        <v>0</v>
      </c>
      <c r="R7">
        <v>0</v>
      </c>
      <c r="S7" s="4"/>
      <c r="T7" s="8">
        <f t="shared" si="1"/>
        <v>28</v>
      </c>
      <c r="U7" s="8">
        <f>M7*225</f>
        <v>225</v>
      </c>
      <c r="V7" s="8">
        <f>M7*140</f>
        <v>140</v>
      </c>
    </row>
    <row r="8" spans="1:22" x14ac:dyDescent="0.3">
      <c r="A8">
        <v>7</v>
      </c>
      <c r="K8">
        <v>7</v>
      </c>
      <c r="L8" t="s">
        <v>20</v>
      </c>
      <c r="M8">
        <f t="shared" si="0"/>
        <v>1</v>
      </c>
      <c r="N8">
        <f>M8*0.3</f>
        <v>0.3</v>
      </c>
      <c r="O8">
        <f>M8*1</f>
        <v>1</v>
      </c>
      <c r="P8">
        <v>0</v>
      </c>
      <c r="Q8">
        <v>0</v>
      </c>
      <c r="R8">
        <v>0</v>
      </c>
      <c r="S8">
        <f>M8*0.015</f>
        <v>1.4999999999999999E-2</v>
      </c>
      <c r="T8" s="8">
        <f t="shared" si="1"/>
        <v>34.2425</v>
      </c>
      <c r="U8" s="8">
        <f>M8*90</f>
        <v>90</v>
      </c>
      <c r="V8" s="8">
        <f>M8*50</f>
        <v>50</v>
      </c>
    </row>
    <row r="9" spans="1:22" x14ac:dyDescent="0.3">
      <c r="A9">
        <v>8</v>
      </c>
      <c r="K9">
        <v>8</v>
      </c>
      <c r="L9" t="s">
        <v>21</v>
      </c>
      <c r="M9">
        <f t="shared" si="0"/>
        <v>1</v>
      </c>
      <c r="N9">
        <f>M9*0.6</f>
        <v>0.6</v>
      </c>
      <c r="O9">
        <f>M9*2</f>
        <v>2</v>
      </c>
      <c r="P9">
        <v>0</v>
      </c>
      <c r="Q9">
        <v>0</v>
      </c>
      <c r="R9">
        <v>0</v>
      </c>
      <c r="S9">
        <f>M9*0.03</f>
        <v>0.03</v>
      </c>
      <c r="T9" s="8">
        <f t="shared" si="1"/>
        <v>68.484999999999999</v>
      </c>
      <c r="U9" s="8">
        <f>M9*160</f>
        <v>160</v>
      </c>
      <c r="V9" s="8">
        <f>M9*100</f>
        <v>100</v>
      </c>
    </row>
    <row r="10" spans="1:22" x14ac:dyDescent="0.3">
      <c r="A10">
        <v>9</v>
      </c>
      <c r="I10" s="4"/>
      <c r="K10">
        <v>9</v>
      </c>
      <c r="L10" s="4" t="s">
        <v>23</v>
      </c>
      <c r="M10">
        <f t="shared" si="0"/>
        <v>1</v>
      </c>
      <c r="O10">
        <f>M10*1</f>
        <v>1</v>
      </c>
      <c r="P10">
        <v>0</v>
      </c>
      <c r="Q10">
        <v>0</v>
      </c>
      <c r="R10">
        <v>0</v>
      </c>
      <c r="S10" s="4"/>
      <c r="T10" s="8">
        <f t="shared" si="1"/>
        <v>14</v>
      </c>
      <c r="U10" s="8">
        <f>M10*115</f>
        <v>115</v>
      </c>
      <c r="V10" s="8">
        <f>M10*63</f>
        <v>63</v>
      </c>
    </row>
    <row r="11" spans="1:22" x14ac:dyDescent="0.3">
      <c r="A11">
        <v>10</v>
      </c>
      <c r="I11" s="4"/>
      <c r="K11">
        <v>10</v>
      </c>
      <c r="L11" s="4" t="s">
        <v>24</v>
      </c>
      <c r="M11">
        <f t="shared" si="0"/>
        <v>1</v>
      </c>
      <c r="O11">
        <f>M11*2</f>
        <v>2</v>
      </c>
      <c r="P11">
        <v>0</v>
      </c>
      <c r="Q11">
        <v>0</v>
      </c>
      <c r="R11">
        <v>0</v>
      </c>
      <c r="S11" s="4"/>
      <c r="T11" s="8">
        <f t="shared" si="1"/>
        <v>28</v>
      </c>
      <c r="U11" s="8">
        <f>M11*200</f>
        <v>200</v>
      </c>
      <c r="V11" s="8">
        <f>M11*126</f>
        <v>126</v>
      </c>
    </row>
    <row r="12" spans="1:22" x14ac:dyDescent="0.3">
      <c r="A12">
        <v>11</v>
      </c>
      <c r="K12">
        <v>11</v>
      </c>
      <c r="L12" t="s">
        <v>25</v>
      </c>
      <c r="M12">
        <f t="shared" si="0"/>
        <v>1</v>
      </c>
      <c r="N12">
        <f>M12*1.6</f>
        <v>1.6</v>
      </c>
      <c r="O12">
        <f>M12*1</f>
        <v>1</v>
      </c>
      <c r="P12">
        <v>0</v>
      </c>
      <c r="Q12">
        <v>0</v>
      </c>
      <c r="R12">
        <v>0</v>
      </c>
      <c r="S12">
        <f>M12*0.08</f>
        <v>0.08</v>
      </c>
      <c r="T12" s="8">
        <f t="shared" si="1"/>
        <v>121.96000000000001</v>
      </c>
      <c r="U12" s="8">
        <f>M12*250</f>
        <v>250</v>
      </c>
      <c r="V12" s="8">
        <f>M12*160</f>
        <v>160</v>
      </c>
    </row>
    <row r="13" spans="1:22" x14ac:dyDescent="0.3">
      <c r="A13">
        <v>12</v>
      </c>
      <c r="K13">
        <v>12</v>
      </c>
      <c r="L13" t="s">
        <v>26</v>
      </c>
      <c r="M13">
        <f t="shared" si="0"/>
        <v>1</v>
      </c>
      <c r="N13">
        <f>M13*0.56</f>
        <v>0.56000000000000005</v>
      </c>
      <c r="O13">
        <f>M13*1</f>
        <v>1</v>
      </c>
      <c r="P13">
        <v>0</v>
      </c>
      <c r="Q13">
        <v>0</v>
      </c>
      <c r="R13">
        <v>0</v>
      </c>
      <c r="S13">
        <f>M13*0.028</f>
        <v>2.8000000000000001E-2</v>
      </c>
      <c r="T13" s="8">
        <f t="shared" si="1"/>
        <v>51.786000000000008</v>
      </c>
      <c r="U13" s="8">
        <f>M13*120</f>
        <v>120</v>
      </c>
      <c r="V13" s="8">
        <f>M13*63</f>
        <v>63</v>
      </c>
    </row>
    <row r="14" spans="1:22" x14ac:dyDescent="0.3">
      <c r="A14">
        <v>13</v>
      </c>
      <c r="K14">
        <v>13</v>
      </c>
      <c r="L14" t="s">
        <v>29</v>
      </c>
      <c r="M14">
        <f t="shared" si="0"/>
        <v>1</v>
      </c>
      <c r="N14">
        <f>M14*1.12</f>
        <v>1.1200000000000001</v>
      </c>
      <c r="O14">
        <f>M14*2</f>
        <v>2</v>
      </c>
      <c r="P14">
        <v>0</v>
      </c>
      <c r="Q14">
        <v>0</v>
      </c>
      <c r="R14">
        <v>0</v>
      </c>
      <c r="S14">
        <f>M14*0.056</f>
        <v>5.6000000000000001E-2</v>
      </c>
      <c r="T14" s="8">
        <f t="shared" si="1"/>
        <v>103.57200000000002</v>
      </c>
      <c r="U14" s="8">
        <f>M14*200</f>
        <v>200</v>
      </c>
      <c r="V14" s="8">
        <f>M14*126</f>
        <v>126</v>
      </c>
    </row>
    <row r="15" spans="1:22" x14ac:dyDescent="0.3">
      <c r="A15">
        <v>14</v>
      </c>
      <c r="K15">
        <v>14</v>
      </c>
      <c r="L15" t="s">
        <v>30</v>
      </c>
      <c r="M15">
        <f t="shared" si="0"/>
        <v>1</v>
      </c>
      <c r="N15">
        <f>M15*0.17</f>
        <v>0.17</v>
      </c>
      <c r="O15">
        <f>M15*1</f>
        <v>1</v>
      </c>
      <c r="P15">
        <v>0</v>
      </c>
      <c r="Q15">
        <v>0</v>
      </c>
      <c r="R15">
        <v>0</v>
      </c>
      <c r="S15">
        <f>M15*0.0085</f>
        <v>8.5000000000000006E-3</v>
      </c>
      <c r="T15" s="8">
        <f t="shared" si="1"/>
        <v>25.470750000000002</v>
      </c>
      <c r="U15" s="8">
        <f>M15*100</f>
        <v>100</v>
      </c>
      <c r="V15" s="8">
        <f>M15*63</f>
        <v>63</v>
      </c>
    </row>
    <row r="16" spans="1:22" x14ac:dyDescent="0.3">
      <c r="A16">
        <v>15</v>
      </c>
      <c r="K16">
        <v>15</v>
      </c>
      <c r="L16" t="s">
        <v>31</v>
      </c>
      <c r="M16">
        <f t="shared" si="0"/>
        <v>1</v>
      </c>
      <c r="N16">
        <f>M16*0.52</f>
        <v>0.52</v>
      </c>
      <c r="O16">
        <f>M16*1</f>
        <v>1</v>
      </c>
      <c r="P16">
        <v>0</v>
      </c>
      <c r="Q16">
        <v>0</v>
      </c>
      <c r="R16">
        <v>0</v>
      </c>
      <c r="S16">
        <f>M16*0.026</f>
        <v>2.5999999999999999E-2</v>
      </c>
      <c r="T16" s="8">
        <f t="shared" si="1"/>
        <v>49.086999999999996</v>
      </c>
      <c r="U16" s="8">
        <f>M16*120</f>
        <v>120</v>
      </c>
      <c r="V16" s="8">
        <f>M16*65</f>
        <v>65</v>
      </c>
    </row>
    <row r="17" spans="1:22" x14ac:dyDescent="0.3">
      <c r="A17">
        <v>16</v>
      </c>
      <c r="K17">
        <v>16</v>
      </c>
      <c r="L17" t="s">
        <v>32</v>
      </c>
      <c r="M17">
        <f t="shared" si="0"/>
        <v>1</v>
      </c>
      <c r="N17">
        <f>M17*1.4</f>
        <v>1.4</v>
      </c>
      <c r="O17">
        <f>M17*2</f>
        <v>2</v>
      </c>
      <c r="P17">
        <v>0</v>
      </c>
      <c r="Q17">
        <v>0</v>
      </c>
      <c r="R17">
        <v>0</v>
      </c>
      <c r="S17">
        <f>M17*0.052</f>
        <v>5.1999999999999998E-2</v>
      </c>
      <c r="T17" s="8">
        <f t="shared" si="1"/>
        <v>115.09399999999999</v>
      </c>
      <c r="U17" s="8">
        <f>M17*200</f>
        <v>200</v>
      </c>
      <c r="V17" s="8">
        <f>M17*130</f>
        <v>130</v>
      </c>
    </row>
    <row r="18" spans="1:22" x14ac:dyDescent="0.3">
      <c r="A18">
        <v>17</v>
      </c>
      <c r="K18">
        <v>17</v>
      </c>
      <c r="L18" t="s">
        <v>33</v>
      </c>
      <c r="M18">
        <f t="shared" si="0"/>
        <v>1</v>
      </c>
      <c r="N18">
        <f>M18*0.7</f>
        <v>0.7</v>
      </c>
      <c r="O18">
        <f>M18*1</f>
        <v>1</v>
      </c>
      <c r="P18">
        <v>0</v>
      </c>
      <c r="Q18">
        <v>0</v>
      </c>
      <c r="R18">
        <v>0</v>
      </c>
      <c r="S18">
        <f>M18*0.035</f>
        <v>3.5000000000000003E-2</v>
      </c>
      <c r="T18" s="8">
        <f t="shared" si="1"/>
        <v>61.232500000000002</v>
      </c>
      <c r="U18" s="8">
        <f>M18*150</f>
        <v>150</v>
      </c>
      <c r="V18" s="8">
        <f>M18*95</f>
        <v>95</v>
      </c>
    </row>
    <row r="19" spans="1:22" x14ac:dyDescent="0.3">
      <c r="A19">
        <v>18</v>
      </c>
      <c r="K19">
        <v>18</v>
      </c>
      <c r="L19" t="s">
        <v>34</v>
      </c>
      <c r="M19">
        <f t="shared" si="0"/>
        <v>1</v>
      </c>
      <c r="N19">
        <f>M19*0.8</f>
        <v>0.8</v>
      </c>
      <c r="O19">
        <f>M19*0</f>
        <v>0</v>
      </c>
      <c r="P19">
        <v>0</v>
      </c>
      <c r="Q19">
        <v>0</v>
      </c>
      <c r="R19">
        <v>0</v>
      </c>
      <c r="S19">
        <f>M19*0.04</f>
        <v>0.04</v>
      </c>
      <c r="T19" s="8">
        <f t="shared" si="1"/>
        <v>53.980000000000004</v>
      </c>
      <c r="U19" s="8">
        <f>M19*110</f>
        <v>110</v>
      </c>
      <c r="V19" s="8">
        <f>M19*70</f>
        <v>70</v>
      </c>
    </row>
    <row r="20" spans="1:22" x14ac:dyDescent="0.3">
      <c r="A20">
        <v>19</v>
      </c>
      <c r="I20" s="4"/>
      <c r="K20">
        <v>19</v>
      </c>
      <c r="L20" s="4" t="s">
        <v>35</v>
      </c>
      <c r="M20">
        <f t="shared" si="0"/>
        <v>1</v>
      </c>
      <c r="O20">
        <f>M20*2</f>
        <v>2</v>
      </c>
      <c r="P20">
        <v>0</v>
      </c>
      <c r="Q20">
        <v>0</v>
      </c>
      <c r="R20">
        <v>0</v>
      </c>
      <c r="S20" s="4"/>
      <c r="T20" s="8">
        <f t="shared" si="1"/>
        <v>28</v>
      </c>
      <c r="U20" s="8">
        <f>M20*300</f>
        <v>300</v>
      </c>
      <c r="V20" s="8">
        <f>M20*190</f>
        <v>190</v>
      </c>
    </row>
    <row r="21" spans="1:22" x14ac:dyDescent="0.3">
      <c r="A21">
        <v>20</v>
      </c>
      <c r="K21">
        <v>20</v>
      </c>
      <c r="L21" t="s">
        <v>36</v>
      </c>
      <c r="M21">
        <f t="shared" si="0"/>
        <v>1</v>
      </c>
      <c r="N21">
        <f>M21*0.26</f>
        <v>0.26</v>
      </c>
      <c r="O21">
        <f>M21*1</f>
        <v>1</v>
      </c>
      <c r="P21">
        <v>0</v>
      </c>
      <c r="Q21">
        <v>0</v>
      </c>
      <c r="R21">
        <v>0</v>
      </c>
      <c r="S21">
        <f>M21*0.013</f>
        <v>1.2999999999999999E-2</v>
      </c>
      <c r="T21" s="8">
        <f t="shared" si="1"/>
        <v>31.543499999999998</v>
      </c>
      <c r="U21" s="8">
        <f>M21*80</f>
        <v>80</v>
      </c>
      <c r="V21" s="8">
        <f>M21*45</f>
        <v>45</v>
      </c>
    </row>
    <row r="22" spans="1:22" x14ac:dyDescent="0.3">
      <c r="A22">
        <v>21</v>
      </c>
      <c r="I22" s="4"/>
      <c r="K22">
        <v>21</v>
      </c>
      <c r="L22" s="4" t="s">
        <v>37</v>
      </c>
      <c r="M22">
        <f t="shared" si="0"/>
        <v>1</v>
      </c>
      <c r="O22">
        <f>M22*1</f>
        <v>1</v>
      </c>
      <c r="P22">
        <v>0</v>
      </c>
      <c r="Q22">
        <v>0</v>
      </c>
      <c r="R22">
        <v>0</v>
      </c>
      <c r="S22" s="4"/>
      <c r="T22" s="8">
        <f t="shared" si="1"/>
        <v>14</v>
      </c>
      <c r="U22" s="37"/>
      <c r="V22" s="37"/>
    </row>
    <row r="23" spans="1:22" x14ac:dyDescent="0.3">
      <c r="A23">
        <v>22</v>
      </c>
      <c r="I23" s="4"/>
      <c r="K23">
        <v>22</v>
      </c>
      <c r="L23" s="4" t="s">
        <v>38</v>
      </c>
      <c r="M23">
        <f t="shared" si="0"/>
        <v>1</v>
      </c>
      <c r="O23">
        <f>M23*1</f>
        <v>1</v>
      </c>
      <c r="P23">
        <v>0</v>
      </c>
      <c r="Q23">
        <v>0</v>
      </c>
      <c r="R23">
        <f>M23*0.05</f>
        <v>0.05</v>
      </c>
      <c r="S23" s="4"/>
      <c r="T23" s="8">
        <f t="shared" si="1"/>
        <v>27</v>
      </c>
      <c r="U23" s="37"/>
      <c r="V23" s="37"/>
    </row>
    <row r="24" spans="1:22" x14ac:dyDescent="0.3">
      <c r="A24">
        <v>23</v>
      </c>
      <c r="K24">
        <v>23</v>
      </c>
      <c r="L24" t="s">
        <v>39</v>
      </c>
      <c r="M24">
        <f t="shared" si="0"/>
        <v>1</v>
      </c>
      <c r="N24">
        <f>M24*1.16</f>
        <v>1.1599999999999999</v>
      </c>
      <c r="O24">
        <f>M24*1</f>
        <v>1</v>
      </c>
      <c r="P24">
        <v>0</v>
      </c>
      <c r="Q24">
        <v>0</v>
      </c>
      <c r="R24">
        <f>M24*0.05</f>
        <v>0.05</v>
      </c>
      <c r="S24">
        <f>M24*0.058</f>
        <v>5.8000000000000003E-2</v>
      </c>
      <c r="T24" s="8">
        <f t="shared" si="1"/>
        <v>105.271</v>
      </c>
      <c r="U24" s="37"/>
      <c r="V24" s="37"/>
    </row>
    <row r="25" spans="1:22" x14ac:dyDescent="0.3">
      <c r="A25">
        <v>24</v>
      </c>
      <c r="K25">
        <v>24</v>
      </c>
      <c r="L25" t="s">
        <v>40</v>
      </c>
      <c r="M25">
        <f t="shared" si="0"/>
        <v>1</v>
      </c>
      <c r="N25">
        <f>M25*0.8</f>
        <v>0.8</v>
      </c>
      <c r="O25">
        <f>M25*0</f>
        <v>0</v>
      </c>
      <c r="P25">
        <v>0</v>
      </c>
      <c r="Q25">
        <v>0</v>
      </c>
      <c r="R25">
        <f>M25*0.1</f>
        <v>0.1</v>
      </c>
      <c r="S25">
        <f>M25*0.04</f>
        <v>0.04</v>
      </c>
      <c r="T25" s="8">
        <f t="shared" si="1"/>
        <v>79.98</v>
      </c>
      <c r="U25" s="37"/>
      <c r="V25" s="37"/>
    </row>
    <row r="26" spans="1:22" x14ac:dyDescent="0.3">
      <c r="A26">
        <v>25</v>
      </c>
      <c r="I26" s="4"/>
      <c r="K26">
        <v>25</v>
      </c>
      <c r="L26" s="4" t="s">
        <v>41</v>
      </c>
      <c r="M26">
        <f t="shared" si="0"/>
        <v>1</v>
      </c>
      <c r="O26">
        <f>M26*1</f>
        <v>1</v>
      </c>
      <c r="P26">
        <v>0</v>
      </c>
      <c r="Q26">
        <v>0</v>
      </c>
      <c r="R26">
        <v>0</v>
      </c>
      <c r="S26" s="4"/>
      <c r="T26" s="8">
        <f t="shared" si="1"/>
        <v>14</v>
      </c>
      <c r="U26" s="8">
        <f>M26*450</f>
        <v>450</v>
      </c>
      <c r="V26" s="8">
        <f>M26*290</f>
        <v>290</v>
      </c>
    </row>
    <row r="27" spans="1:22" x14ac:dyDescent="0.3">
      <c r="A27">
        <v>26</v>
      </c>
      <c r="I27" s="4"/>
      <c r="K27">
        <v>26</v>
      </c>
      <c r="L27" s="4" t="s">
        <v>42</v>
      </c>
      <c r="M27">
        <f t="shared" si="0"/>
        <v>1</v>
      </c>
      <c r="O27">
        <f>M27*1</f>
        <v>1</v>
      </c>
      <c r="P27">
        <v>0</v>
      </c>
      <c r="Q27">
        <v>0</v>
      </c>
      <c r="R27">
        <v>0</v>
      </c>
      <c r="S27" s="4"/>
      <c r="T27" s="8">
        <f t="shared" si="1"/>
        <v>14</v>
      </c>
      <c r="U27" s="8">
        <f>M27*550</f>
        <v>550</v>
      </c>
      <c r="V27" s="8">
        <f>M27*350</f>
        <v>350</v>
      </c>
    </row>
    <row r="28" spans="1:22" x14ac:dyDescent="0.3">
      <c r="A28">
        <v>27</v>
      </c>
      <c r="K28">
        <v>27</v>
      </c>
      <c r="L28" t="s">
        <v>43</v>
      </c>
      <c r="M28">
        <f t="shared" si="0"/>
        <v>1</v>
      </c>
      <c r="N28">
        <f>M28*0.6</f>
        <v>0.6</v>
      </c>
      <c r="O28">
        <f>M28*0</f>
        <v>0</v>
      </c>
      <c r="P28">
        <v>0</v>
      </c>
      <c r="Q28">
        <f>M28*0.1</f>
        <v>0.1</v>
      </c>
      <c r="R28">
        <v>0</v>
      </c>
      <c r="S28">
        <f>M28*0.03</f>
        <v>0.03</v>
      </c>
      <c r="T28" s="8">
        <f t="shared" si="1"/>
        <v>66.484999999999999</v>
      </c>
      <c r="U28" s="37"/>
      <c r="V28" s="37"/>
    </row>
    <row r="29" spans="1:22" x14ac:dyDescent="0.3">
      <c r="A29">
        <v>28</v>
      </c>
      <c r="K29">
        <v>28</v>
      </c>
      <c r="L29" t="s">
        <v>44</v>
      </c>
      <c r="M29">
        <f t="shared" si="0"/>
        <v>1</v>
      </c>
      <c r="N29">
        <f>M29*0.58</f>
        <v>0.57999999999999996</v>
      </c>
      <c r="O29">
        <f>M29*0</f>
        <v>0</v>
      </c>
      <c r="P29">
        <v>0</v>
      </c>
      <c r="Q29">
        <f>M29*0.1</f>
        <v>0.1</v>
      </c>
      <c r="R29">
        <v>0</v>
      </c>
      <c r="S29">
        <f>M29*0.029</f>
        <v>2.9000000000000001E-2</v>
      </c>
      <c r="T29" s="8">
        <f t="shared" si="1"/>
        <v>65.135499999999993</v>
      </c>
      <c r="U29" s="37"/>
      <c r="V29" s="37"/>
    </row>
    <row r="30" spans="1:22" x14ac:dyDescent="0.3">
      <c r="A30">
        <v>29</v>
      </c>
      <c r="I30" s="4"/>
      <c r="K30">
        <v>29</v>
      </c>
      <c r="L30" s="4" t="s">
        <v>45</v>
      </c>
      <c r="M30">
        <f t="shared" si="0"/>
        <v>1</v>
      </c>
      <c r="O30">
        <f>M30*1</f>
        <v>1</v>
      </c>
      <c r="P30">
        <v>0</v>
      </c>
      <c r="Q30">
        <v>0</v>
      </c>
      <c r="R30">
        <v>0</v>
      </c>
      <c r="S30" s="4"/>
      <c r="T30" s="8">
        <f t="shared" si="1"/>
        <v>14</v>
      </c>
      <c r="U30" s="8">
        <f>M30*165</f>
        <v>165</v>
      </c>
      <c r="V30" s="8">
        <f>M30*100</f>
        <v>100</v>
      </c>
    </row>
    <row r="31" spans="1:22" ht="28.8" x14ac:dyDescent="0.3">
      <c r="A31">
        <v>30</v>
      </c>
      <c r="I31" s="6"/>
      <c r="K31">
        <v>30</v>
      </c>
      <c r="L31" s="6" t="s">
        <v>46</v>
      </c>
      <c r="M31">
        <f t="shared" si="0"/>
        <v>1</v>
      </c>
      <c r="O31">
        <f>M31*1</f>
        <v>1</v>
      </c>
      <c r="P31">
        <v>0</v>
      </c>
      <c r="Q31">
        <v>0</v>
      </c>
      <c r="R31">
        <v>0</v>
      </c>
      <c r="S31" s="4"/>
      <c r="T31" s="8">
        <f t="shared" si="1"/>
        <v>14</v>
      </c>
      <c r="U31" s="8">
        <f>M31*250</f>
        <v>250</v>
      </c>
      <c r="V31" s="8">
        <f>M31*150</f>
        <v>150</v>
      </c>
    </row>
    <row r="32" spans="1:22" x14ac:dyDescent="0.3">
      <c r="A32">
        <v>31</v>
      </c>
      <c r="K32">
        <v>31</v>
      </c>
      <c r="L32" t="s">
        <v>47</v>
      </c>
      <c r="M32">
        <f t="shared" si="0"/>
        <v>1</v>
      </c>
      <c r="N32">
        <f>M32*0.4</f>
        <v>0.4</v>
      </c>
      <c r="P32">
        <f>M32*2</f>
        <v>2</v>
      </c>
      <c r="Q32">
        <v>0</v>
      </c>
      <c r="R32">
        <v>0</v>
      </c>
      <c r="S32">
        <f>M32*0.02</f>
        <v>0.02</v>
      </c>
      <c r="T32" s="8">
        <f t="shared" si="1"/>
        <v>60.989999999999995</v>
      </c>
      <c r="U32" s="8">
        <f>M32*160</f>
        <v>160</v>
      </c>
      <c r="V32" s="8">
        <f>M32*100</f>
        <v>100</v>
      </c>
    </row>
    <row r="33" spans="1:24" ht="28.8" x14ac:dyDescent="0.3">
      <c r="A33">
        <v>32</v>
      </c>
      <c r="I33" s="5"/>
      <c r="K33">
        <v>32</v>
      </c>
      <c r="L33" s="5" t="s">
        <v>48</v>
      </c>
      <c r="M33">
        <f t="shared" si="0"/>
        <v>1</v>
      </c>
      <c r="N33">
        <f>M33*0.96</f>
        <v>0.96</v>
      </c>
      <c r="P33">
        <f>M33*2</f>
        <v>2</v>
      </c>
      <c r="Q33">
        <v>0</v>
      </c>
      <c r="R33">
        <v>0</v>
      </c>
      <c r="S33">
        <f>M33*0.048</f>
        <v>4.8000000000000001E-2</v>
      </c>
      <c r="T33" s="8">
        <f t="shared" si="1"/>
        <v>98.77600000000001</v>
      </c>
      <c r="U33" s="37"/>
      <c r="V33" s="37"/>
    </row>
    <row r="34" spans="1:24" ht="28.8" x14ac:dyDescent="0.3">
      <c r="A34">
        <v>33</v>
      </c>
      <c r="I34" s="6"/>
      <c r="K34">
        <v>33</v>
      </c>
      <c r="L34" s="6" t="s">
        <v>49</v>
      </c>
      <c r="M34">
        <f t="shared" si="0"/>
        <v>1</v>
      </c>
      <c r="N34">
        <f>M34*0.4</f>
        <v>0.4</v>
      </c>
      <c r="P34">
        <f>M34*2</f>
        <v>2</v>
      </c>
      <c r="Q34">
        <v>0</v>
      </c>
      <c r="R34">
        <v>0</v>
      </c>
      <c r="S34" s="4"/>
      <c r="T34" s="8">
        <f t="shared" si="1"/>
        <v>52.8</v>
      </c>
      <c r="U34" s="37"/>
      <c r="V34" s="37"/>
    </row>
    <row r="35" spans="1:24" x14ac:dyDescent="0.3">
      <c r="A35">
        <v>34</v>
      </c>
      <c r="K35">
        <v>34</v>
      </c>
      <c r="L35" t="s">
        <v>50</v>
      </c>
      <c r="M35">
        <f t="shared" si="0"/>
        <v>1</v>
      </c>
      <c r="N35">
        <f>M35*0.6</f>
        <v>0.6</v>
      </c>
      <c r="P35">
        <f t="shared" ref="P35:P41" si="2">M35*2</f>
        <v>2</v>
      </c>
      <c r="Q35">
        <v>0</v>
      </c>
      <c r="R35">
        <v>0</v>
      </c>
      <c r="S35">
        <f>M35*0.03</f>
        <v>0.03</v>
      </c>
      <c r="T35" s="8">
        <f t="shared" si="1"/>
        <v>74.484999999999999</v>
      </c>
      <c r="U35" s="8">
        <f>M35*180</f>
        <v>180</v>
      </c>
      <c r="V35" s="8">
        <f>M35*115</f>
        <v>115</v>
      </c>
    </row>
    <row r="36" spans="1:24" x14ac:dyDescent="0.3">
      <c r="A36">
        <v>35</v>
      </c>
      <c r="I36" s="4"/>
      <c r="K36">
        <v>35</v>
      </c>
      <c r="L36" s="4" t="s">
        <v>51</v>
      </c>
      <c r="M36">
        <f t="shared" si="0"/>
        <v>1</v>
      </c>
      <c r="N36">
        <f>M36*0.5</f>
        <v>0.5</v>
      </c>
      <c r="P36">
        <f t="shared" si="2"/>
        <v>2</v>
      </c>
      <c r="Q36">
        <v>0</v>
      </c>
      <c r="R36">
        <v>0</v>
      </c>
      <c r="S36" s="4"/>
      <c r="T36" s="8">
        <f t="shared" si="1"/>
        <v>57.5</v>
      </c>
      <c r="U36" s="8">
        <f>M36*250</f>
        <v>250</v>
      </c>
      <c r="V36" s="8">
        <f>M36*150</f>
        <v>150</v>
      </c>
    </row>
    <row r="37" spans="1:24" x14ac:dyDescent="0.3">
      <c r="A37">
        <v>36</v>
      </c>
      <c r="K37">
        <v>36</v>
      </c>
      <c r="L37" t="s">
        <v>52</v>
      </c>
      <c r="M37">
        <f t="shared" si="0"/>
        <v>1</v>
      </c>
      <c r="N37">
        <f>M37*1.12</f>
        <v>1.1200000000000001</v>
      </c>
      <c r="P37">
        <f t="shared" si="2"/>
        <v>2</v>
      </c>
      <c r="Q37">
        <v>0</v>
      </c>
      <c r="R37">
        <v>0</v>
      </c>
      <c r="S37">
        <f>M37*0.056</f>
        <v>5.6000000000000001E-2</v>
      </c>
      <c r="T37" s="8">
        <f t="shared" si="1"/>
        <v>109.57200000000002</v>
      </c>
      <c r="U37" s="8">
        <f>M37*250</f>
        <v>250</v>
      </c>
      <c r="V37" s="8">
        <f>M37*160</f>
        <v>160</v>
      </c>
    </row>
    <row r="38" spans="1:24" x14ac:dyDescent="0.3">
      <c r="A38">
        <v>37</v>
      </c>
      <c r="K38">
        <v>37</v>
      </c>
      <c r="L38" t="s">
        <v>53</v>
      </c>
      <c r="M38">
        <f t="shared" si="0"/>
        <v>1</v>
      </c>
      <c r="N38">
        <f>M38*0.34</f>
        <v>0.34</v>
      </c>
      <c r="P38">
        <f t="shared" si="2"/>
        <v>2</v>
      </c>
      <c r="Q38">
        <v>0</v>
      </c>
      <c r="R38">
        <v>0</v>
      </c>
      <c r="S38">
        <f>M38*0.017</f>
        <v>1.7000000000000001E-2</v>
      </c>
      <c r="T38" s="8">
        <f t="shared" si="1"/>
        <v>56.941500000000005</v>
      </c>
      <c r="U38" s="8">
        <f>M38*250</f>
        <v>250</v>
      </c>
      <c r="V38" s="8">
        <f>M38*160</f>
        <v>160</v>
      </c>
    </row>
    <row r="39" spans="1:24" x14ac:dyDescent="0.3">
      <c r="A39">
        <v>38</v>
      </c>
      <c r="K39">
        <v>38</v>
      </c>
      <c r="L39" t="s">
        <v>54</v>
      </c>
      <c r="M39">
        <f t="shared" si="0"/>
        <v>1</v>
      </c>
      <c r="N39">
        <f>M39*0.52</f>
        <v>0.52</v>
      </c>
      <c r="P39">
        <f t="shared" si="2"/>
        <v>2</v>
      </c>
      <c r="Q39">
        <v>0</v>
      </c>
      <c r="R39">
        <v>0</v>
      </c>
      <c r="S39">
        <f>M39*0.026</f>
        <v>2.5999999999999999E-2</v>
      </c>
      <c r="T39" s="8">
        <f t="shared" si="1"/>
        <v>69.087000000000003</v>
      </c>
      <c r="U39" s="8">
        <f>M39*170</f>
        <v>170</v>
      </c>
      <c r="V39" s="8">
        <f>M39*110</f>
        <v>110</v>
      </c>
    </row>
    <row r="40" spans="1:24" x14ac:dyDescent="0.3">
      <c r="A40">
        <v>39</v>
      </c>
      <c r="I40" s="4"/>
      <c r="K40">
        <v>39</v>
      </c>
      <c r="L40" s="4" t="s">
        <v>55</v>
      </c>
      <c r="M40">
        <f t="shared" si="0"/>
        <v>1</v>
      </c>
      <c r="P40">
        <f t="shared" si="2"/>
        <v>2</v>
      </c>
      <c r="Q40">
        <v>0</v>
      </c>
      <c r="R40">
        <v>0</v>
      </c>
      <c r="S40" s="4"/>
      <c r="T40" s="8"/>
      <c r="U40" s="37"/>
      <c r="V40" s="37"/>
    </row>
    <row r="41" spans="1:24" x14ac:dyDescent="0.3">
      <c r="A41">
        <v>40</v>
      </c>
      <c r="K41">
        <v>40</v>
      </c>
      <c r="L41" t="s">
        <v>56</v>
      </c>
      <c r="M41">
        <f t="shared" si="0"/>
        <v>1</v>
      </c>
      <c r="N41">
        <f>M41*1.04</f>
        <v>1.04</v>
      </c>
      <c r="P41">
        <f t="shared" si="2"/>
        <v>2</v>
      </c>
      <c r="Q41">
        <v>0</v>
      </c>
      <c r="R41">
        <v>0</v>
      </c>
      <c r="S41">
        <f>M41*0.052</f>
        <v>5.1999999999999998E-2</v>
      </c>
      <c r="T41" s="8">
        <f>M41*(N41*47+O41*14+P41*17+Q41*260+R41*260+S41*409.5)</f>
        <v>104.17399999999999</v>
      </c>
      <c r="U41" s="8">
        <f>M41*260</f>
        <v>260</v>
      </c>
      <c r="V41" s="8">
        <f>M41*165</f>
        <v>165</v>
      </c>
    </row>
    <row r="42" spans="1:24" x14ac:dyDescent="0.3">
      <c r="K42">
        <v>41</v>
      </c>
      <c r="L42" t="s">
        <v>57</v>
      </c>
      <c r="M42">
        <f t="shared" si="0"/>
        <v>0</v>
      </c>
      <c r="N42">
        <f>M42*0.5</f>
        <v>0</v>
      </c>
      <c r="P42">
        <f>M42*0</f>
        <v>0</v>
      </c>
      <c r="Q42">
        <v>0</v>
      </c>
      <c r="R42">
        <v>0</v>
      </c>
      <c r="S42">
        <f t="shared" ref="S42" si="3">M42*0.1</f>
        <v>0</v>
      </c>
      <c r="T42" s="8">
        <f>M42*(N42*47+O42*14+P42*17+Q42*260+R42*260+S42*409.5)</f>
        <v>0</v>
      </c>
      <c r="U42" s="8">
        <v>35</v>
      </c>
      <c r="V42" s="8">
        <f>M42*25</f>
        <v>0</v>
      </c>
    </row>
    <row r="43" spans="1:24" ht="28.8" x14ac:dyDescent="0.3">
      <c r="I43" s="5"/>
      <c r="K43">
        <v>42</v>
      </c>
      <c r="L43" s="5" t="s">
        <v>58</v>
      </c>
      <c r="M43">
        <f t="shared" si="0"/>
        <v>0</v>
      </c>
      <c r="N43">
        <f>M43*0.5</f>
        <v>0</v>
      </c>
      <c r="P43">
        <f t="shared" ref="P43:P44" si="4">M43*0</f>
        <v>0</v>
      </c>
      <c r="Q43">
        <v>0</v>
      </c>
      <c r="R43">
        <v>0</v>
      </c>
      <c r="S43">
        <f>M43*0.1</f>
        <v>0</v>
      </c>
      <c r="T43" s="8">
        <f>M43*(N43*47+O43*14+P43*17+Q43*260+R43*260+S43*409.5)</f>
        <v>0</v>
      </c>
      <c r="U43" s="8">
        <v>45</v>
      </c>
      <c r="V43" s="8">
        <f>M43*30</f>
        <v>0</v>
      </c>
    </row>
    <row r="44" spans="1:24" x14ac:dyDescent="0.3">
      <c r="K44">
        <v>43</v>
      </c>
      <c r="L44" t="s">
        <v>59</v>
      </c>
      <c r="M44">
        <f t="shared" si="0"/>
        <v>0</v>
      </c>
      <c r="N44">
        <f>M44*0.5</f>
        <v>0</v>
      </c>
      <c r="P44">
        <f t="shared" si="4"/>
        <v>0</v>
      </c>
      <c r="Q44">
        <v>0</v>
      </c>
      <c r="R44">
        <v>0</v>
      </c>
      <c r="S44">
        <f>M44*0.1</f>
        <v>0</v>
      </c>
      <c r="T44" s="8">
        <f>M44*(N44*47+O44*14+P44*17+Q44*260+R44*260+S44*409.5)</f>
        <v>0</v>
      </c>
      <c r="U44" s="8">
        <v>10</v>
      </c>
      <c r="V44" s="8">
        <f>M44*6.5</f>
        <v>0</v>
      </c>
    </row>
    <row r="45" spans="1:24" x14ac:dyDescent="0.3">
      <c r="O45">
        <v>44</v>
      </c>
      <c r="Q45">
        <f t="shared" ref="Q45:Q48" si="5">COUNTIF(A:A,O45)</f>
        <v>0</v>
      </c>
      <c r="R45">
        <f t="shared" ref="R45:R48" si="6">Q45*0.5</f>
        <v>0</v>
      </c>
      <c r="S45">
        <f t="shared" ref="S45:S48" si="7">Q45*1</f>
        <v>0</v>
      </c>
      <c r="U45" s="8">
        <f t="shared" ref="U45:U48" si="8">M45*80</f>
        <v>0</v>
      </c>
      <c r="W45">
        <f t="shared" ref="W45:W48" si="9">Q45*0.1</f>
        <v>0</v>
      </c>
      <c r="X45" s="8">
        <f t="shared" ref="X45:X48" si="10">Q45*(R45*47+S45*14+T45*17+U45*260+V45*260+W45*409.5)</f>
        <v>0</v>
      </c>
    </row>
    <row r="46" spans="1:24" x14ac:dyDescent="0.3">
      <c r="O46">
        <v>45</v>
      </c>
      <c r="Q46">
        <f t="shared" si="5"/>
        <v>0</v>
      </c>
      <c r="R46">
        <f t="shared" si="6"/>
        <v>0</v>
      </c>
      <c r="S46">
        <f t="shared" si="7"/>
        <v>0</v>
      </c>
      <c r="U46" s="8">
        <f t="shared" si="8"/>
        <v>0</v>
      </c>
      <c r="W46">
        <f t="shared" si="9"/>
        <v>0</v>
      </c>
      <c r="X46" s="8">
        <f t="shared" si="10"/>
        <v>0</v>
      </c>
    </row>
    <row r="47" spans="1:24" x14ac:dyDescent="0.3">
      <c r="O47">
        <v>46</v>
      </c>
      <c r="Q47">
        <f t="shared" si="5"/>
        <v>0</v>
      </c>
      <c r="R47">
        <f t="shared" si="6"/>
        <v>0</v>
      </c>
      <c r="S47">
        <f t="shared" si="7"/>
        <v>0</v>
      </c>
      <c r="U47" s="8">
        <f t="shared" si="8"/>
        <v>0</v>
      </c>
      <c r="W47">
        <f t="shared" si="9"/>
        <v>0</v>
      </c>
      <c r="X47" s="8">
        <f t="shared" si="10"/>
        <v>0</v>
      </c>
    </row>
    <row r="48" spans="1:24" x14ac:dyDescent="0.3">
      <c r="O48">
        <v>47</v>
      </c>
      <c r="Q48">
        <f t="shared" si="5"/>
        <v>0</v>
      </c>
      <c r="R48">
        <f t="shared" si="6"/>
        <v>0</v>
      </c>
      <c r="S48">
        <f t="shared" si="7"/>
        <v>0</v>
      </c>
      <c r="U48" s="8">
        <f t="shared" si="8"/>
        <v>0</v>
      </c>
      <c r="W48">
        <f t="shared" si="9"/>
        <v>0</v>
      </c>
      <c r="X48" s="8">
        <f t="shared" si="1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0C200-526E-4880-B259-21EAF89D2620}">
  <dimension ref="A1:AV54"/>
  <sheetViews>
    <sheetView topLeftCell="A14" workbookViewId="0">
      <selection activeCell="Y33" sqref="Y33"/>
    </sheetView>
  </sheetViews>
  <sheetFormatPr defaultRowHeight="15" thickBottom="1" outlineLevelCol="3" x14ac:dyDescent="0.35"/>
  <cols>
    <col min="1" max="1" width="8.88671875" style="3"/>
    <col min="2" max="2" width="19.88671875" style="23" customWidth="1"/>
    <col min="3" max="3" width="7.21875" style="23" hidden="1" customWidth="1"/>
    <col min="4" max="4" width="7.109375" style="23" hidden="1" customWidth="1"/>
    <col min="5" max="5" width="5.77734375" style="23" hidden="1" customWidth="1"/>
    <col min="6" max="6" width="14.44140625" style="23" hidden="1" customWidth="1"/>
    <col min="7" max="7" width="11.44140625" style="23" hidden="1" customWidth="1"/>
    <col min="8" max="8" width="19.21875" style="7" customWidth="1"/>
    <col min="9" max="9" width="33.109375" style="7" hidden="1" customWidth="1"/>
    <col min="10" max="10" width="12.33203125" style="1" customWidth="1"/>
    <col min="11" max="11" width="8.33203125" customWidth="1"/>
    <col min="12" max="12" width="6.44140625" customWidth="1"/>
    <col min="13" max="13" width="6.21875" customWidth="1"/>
    <col min="14" max="14" width="8.109375" customWidth="1"/>
    <col min="15" max="15" width="10.21875" customWidth="1"/>
    <col min="16" max="16" width="8.5546875" hidden="1" customWidth="1"/>
    <col min="17" max="17" width="4.44140625" hidden="1" customWidth="1"/>
    <col min="18" max="18" width="7.44140625" hidden="1" customWidth="1"/>
    <col min="19" max="19" width="9.33203125" hidden="1" customWidth="1"/>
    <col min="20" max="20" width="9.44140625" hidden="1" customWidth="1"/>
    <col min="21" max="21" width="21.5546875" hidden="1" customWidth="1"/>
    <col min="22" max="23" width="10.109375" customWidth="1"/>
    <col min="24" max="24" width="10.109375" style="18" customWidth="1"/>
    <col min="25" max="25" width="11.44140625" customWidth="1" outlineLevel="1"/>
    <col min="26" max="26" width="14.44140625" customWidth="1"/>
    <col min="27" max="27" width="11" customWidth="1" outlineLevel="3"/>
    <col min="29" max="29" width="11.44140625" customWidth="1" outlineLevel="2"/>
  </cols>
  <sheetData>
    <row r="1" spans="1:48" ht="43.8" thickBot="1" x14ac:dyDescent="0.35">
      <c r="A1" s="9" t="s">
        <v>0</v>
      </c>
      <c r="H1" s="1" t="s">
        <v>1</v>
      </c>
      <c r="I1" s="1" t="s">
        <v>0</v>
      </c>
      <c r="J1" s="1" t="s">
        <v>2</v>
      </c>
      <c r="K1" s="2" t="s">
        <v>3</v>
      </c>
      <c r="L1" s="2" t="s">
        <v>4</v>
      </c>
      <c r="M1" s="2" t="s">
        <v>5</v>
      </c>
      <c r="N1" s="2" t="s">
        <v>6</v>
      </c>
      <c r="O1" s="2" t="s">
        <v>7</v>
      </c>
      <c r="P1" s="2" t="s">
        <v>68</v>
      </c>
      <c r="Q1" s="2" t="s">
        <v>69</v>
      </c>
      <c r="R1" s="2" t="s">
        <v>70</v>
      </c>
      <c r="S1" s="2" t="s">
        <v>71</v>
      </c>
      <c r="T1" s="2" t="s">
        <v>72</v>
      </c>
      <c r="U1" s="2" t="s">
        <v>8</v>
      </c>
      <c r="V1" s="2" t="s">
        <v>288</v>
      </c>
      <c r="W1" s="1" t="s">
        <v>9</v>
      </c>
      <c r="X1" s="1" t="s">
        <v>10</v>
      </c>
      <c r="AJ1" s="7"/>
      <c r="AK1" s="4" t="s">
        <v>11</v>
      </c>
    </row>
    <row r="2" spans="1:48" ht="58.8" thickTop="1" thickBot="1" x14ac:dyDescent="0.35">
      <c r="A2" s="3" t="s">
        <v>73</v>
      </c>
      <c r="B2" s="23">
        <v>1</v>
      </c>
      <c r="C2" s="23" t="s">
        <v>73</v>
      </c>
      <c r="D2" s="23" t="s">
        <v>116</v>
      </c>
      <c r="E2" s="23" t="s">
        <v>159</v>
      </c>
      <c r="F2" s="23" t="s">
        <v>202</v>
      </c>
      <c r="G2" s="23" t="s">
        <v>245</v>
      </c>
      <c r="H2" s="1" t="s">
        <v>12</v>
      </c>
      <c r="I2" s="22" cm="1">
        <f t="array" ref="I2:J44">_xlfn._xlws.FILTER(IF({1,0},_xlfn._xlws.SORT(--_xlfn.UNIQUE(LEFT($A$2:$A$1499, LEN($A$2:$A$1499)-1))),
                            COUNTIFS($A$2:$A$1499,_xlfn._xlws.SORT(_xlfn.UNIQUE(LEFT($A$2:$A$1499,LEN($A$2:$A$1499)-1)))&amp;"?")),
  COUNTIFS($A$2:$A$1499,_xlfn._xlws.SORT(_xlfn.UNIQUE(LEFT($A$2:$A$1499,LEN($A$2:$A$1499)-1)))&amp;"?") &gt;0)</f>
        <v>1</v>
      </c>
      <c r="J2">
        <v>2</v>
      </c>
      <c r="K2" s="35">
        <f>J2*0.2-0.2</f>
        <v>0.2</v>
      </c>
      <c r="L2">
        <f>J2*1</f>
        <v>2</v>
      </c>
      <c r="P2">
        <f t="shared" ref="P2:P42" si="0">COUNTIF(A:A,C2)*U2</f>
        <v>0.01</v>
      </c>
      <c r="Q2">
        <f>COUNTIF(A:A,D2)*U2</f>
        <v>0</v>
      </c>
      <c r="R2">
        <f>COUNTIF(A:A,E2)*U2</f>
        <v>0</v>
      </c>
      <c r="S2">
        <f>COUNTIF(A:A,F2)*U2</f>
        <v>0.01</v>
      </c>
      <c r="T2">
        <f>COUNTIF(A:A,G2)*U2</f>
        <v>0</v>
      </c>
      <c r="U2">
        <v>0.01</v>
      </c>
      <c r="V2">
        <f>'טבלת עלויות'!T2*J2-'טבלת עלויות'!T2</f>
        <v>27.494999999999997</v>
      </c>
      <c r="Y2" s="13" t="s">
        <v>18</v>
      </c>
      <c r="AA2" s="13" t="s">
        <v>19</v>
      </c>
      <c r="AC2" s="10" t="s">
        <v>27</v>
      </c>
      <c r="AE2" s="10" t="s">
        <v>28</v>
      </c>
      <c r="AJ2" s="7"/>
    </row>
    <row r="3" spans="1:48" ht="15.6" thickTop="1" thickBot="1" x14ac:dyDescent="0.35">
      <c r="A3" s="3" t="s">
        <v>74</v>
      </c>
      <c r="B3" s="23">
        <v>2</v>
      </c>
      <c r="C3" s="23" t="s">
        <v>74</v>
      </c>
      <c r="D3" s="23" t="s">
        <v>117</v>
      </c>
      <c r="E3" s="23" t="s">
        <v>160</v>
      </c>
      <c r="F3" s="23" t="s">
        <v>203</v>
      </c>
      <c r="G3" s="23" t="s">
        <v>246</v>
      </c>
      <c r="H3" s="1" t="s">
        <v>13</v>
      </c>
      <c r="I3" s="7">
        <v>2</v>
      </c>
      <c r="J3">
        <v>1</v>
      </c>
      <c r="K3" s="35">
        <f>J3*0.4</f>
        <v>0.4</v>
      </c>
      <c r="L3">
        <f>J3*2</f>
        <v>2</v>
      </c>
      <c r="P3">
        <f t="shared" si="0"/>
        <v>0.02</v>
      </c>
      <c r="Q3">
        <f t="shared" ref="Q3:Q44" si="1">COUNTIF(B:B,E3)*U3</f>
        <v>0</v>
      </c>
      <c r="R3">
        <f t="shared" ref="R3:R44" si="2">COUNTIF(C:C,E3)*U3</f>
        <v>0</v>
      </c>
      <c r="S3">
        <f t="shared" ref="S3:S44" si="3">COUNTIF(D:D,F3)*U3</f>
        <v>0</v>
      </c>
      <c r="T3">
        <f t="shared" ref="T3:T44" si="4">COUNTIF(E:E,G3)*U3</f>
        <v>0</v>
      </c>
      <c r="U3">
        <v>0.02</v>
      </c>
      <c r="V3">
        <f>'טבלת עלויות'!T3*J3-'טבלת עלויות'!T3</f>
        <v>0</v>
      </c>
      <c r="Y3" s="14">
        <v>200</v>
      </c>
      <c r="AA3" s="11">
        <v>200</v>
      </c>
    </row>
    <row r="4" spans="1:48" ht="15.6" thickTop="1" thickBot="1" x14ac:dyDescent="0.35">
      <c r="A4" s="3" t="s">
        <v>75</v>
      </c>
      <c r="B4" s="23">
        <v>3</v>
      </c>
      <c r="C4" s="23" t="s">
        <v>75</v>
      </c>
      <c r="D4" s="23" t="s">
        <v>118</v>
      </c>
      <c r="E4" s="23" t="s">
        <v>161</v>
      </c>
      <c r="F4" s="23" t="s">
        <v>204</v>
      </c>
      <c r="G4" s="23" t="s">
        <v>247</v>
      </c>
      <c r="H4" s="1" t="s">
        <v>14</v>
      </c>
      <c r="I4" s="7">
        <v>3</v>
      </c>
      <c r="J4">
        <v>1</v>
      </c>
      <c r="K4" s="35">
        <f>J4*0.48</f>
        <v>0.48</v>
      </c>
      <c r="L4">
        <f>J4*1</f>
        <v>1</v>
      </c>
      <c r="P4">
        <f t="shared" si="0"/>
        <v>2.4E-2</v>
      </c>
      <c r="Q4">
        <f t="shared" si="1"/>
        <v>0</v>
      </c>
      <c r="R4">
        <f t="shared" si="2"/>
        <v>0</v>
      </c>
      <c r="S4">
        <f t="shared" si="3"/>
        <v>0</v>
      </c>
      <c r="T4">
        <f t="shared" si="4"/>
        <v>0</v>
      </c>
      <c r="U4">
        <v>2.4E-2</v>
      </c>
      <c r="V4">
        <f>'טבלת עלויות'!T4*J4-'טבלת עלויות'!T4</f>
        <v>0</v>
      </c>
      <c r="Y4" s="15" t="s">
        <v>22</v>
      </c>
      <c r="AA4" s="15" t="s">
        <v>22</v>
      </c>
    </row>
    <row r="5" spans="1:48" ht="15.6" thickTop="1" thickBot="1" x14ac:dyDescent="0.35">
      <c r="A5" s="3" t="s">
        <v>76</v>
      </c>
      <c r="B5" s="23">
        <v>4</v>
      </c>
      <c r="C5" s="23" t="s">
        <v>76</v>
      </c>
      <c r="D5" s="23" t="s">
        <v>119</v>
      </c>
      <c r="E5" s="23" t="s">
        <v>162</v>
      </c>
      <c r="F5" s="23" t="s">
        <v>205</v>
      </c>
      <c r="G5" s="23" t="s">
        <v>248</v>
      </c>
      <c r="H5" s="1" t="s">
        <v>15</v>
      </c>
      <c r="I5" s="7">
        <v>4</v>
      </c>
      <c r="J5">
        <v>1</v>
      </c>
      <c r="K5" s="35">
        <f>J5*0.96</f>
        <v>0.96</v>
      </c>
      <c r="L5">
        <f>J5*2</f>
        <v>2</v>
      </c>
      <c r="P5">
        <f t="shared" si="0"/>
        <v>4.8000000000000001E-2</v>
      </c>
      <c r="Q5">
        <f t="shared" si="1"/>
        <v>0</v>
      </c>
      <c r="R5">
        <f t="shared" si="2"/>
        <v>0</v>
      </c>
      <c r="S5">
        <f t="shared" si="3"/>
        <v>0</v>
      </c>
      <c r="T5">
        <f t="shared" si="4"/>
        <v>0</v>
      </c>
      <c r="U5">
        <v>4.8000000000000001E-2</v>
      </c>
      <c r="V5">
        <f>'טבלת עלויות'!T5*J5-'טבלת עלויות'!T5</f>
        <v>0</v>
      </c>
      <c r="Y5" s="15" t="e">
        <f>Y3-SUM(L2L2:L1826)+34</f>
        <v>#NAME?</v>
      </c>
      <c r="AA5" s="15">
        <f>AA3-SUM(M2:M1138)+22</f>
        <v>200</v>
      </c>
    </row>
    <row r="6" spans="1:48" thickBot="1" x14ac:dyDescent="0.35">
      <c r="A6" s="3" t="s">
        <v>77</v>
      </c>
      <c r="B6" s="23">
        <v>5</v>
      </c>
      <c r="C6" s="23" t="s">
        <v>77</v>
      </c>
      <c r="D6" s="23" t="s">
        <v>120</v>
      </c>
      <c r="E6" s="23" t="s">
        <v>163</v>
      </c>
      <c r="F6" s="23" t="s">
        <v>206</v>
      </c>
      <c r="G6" s="23" t="s">
        <v>249</v>
      </c>
      <c r="H6" s="21" t="s">
        <v>16</v>
      </c>
      <c r="I6" s="7">
        <v>5</v>
      </c>
      <c r="J6">
        <v>1</v>
      </c>
      <c r="K6" s="36"/>
      <c r="L6" s="4">
        <f t="shared" ref="L6:L48" si="5">J6*1</f>
        <v>1</v>
      </c>
      <c r="M6" s="4"/>
      <c r="N6" s="4"/>
      <c r="O6" s="4"/>
      <c r="P6">
        <f t="shared" si="0"/>
        <v>0</v>
      </c>
      <c r="Q6">
        <f t="shared" si="1"/>
        <v>0</v>
      </c>
      <c r="R6">
        <f t="shared" si="2"/>
        <v>0</v>
      </c>
      <c r="S6">
        <f t="shared" si="3"/>
        <v>0</v>
      </c>
      <c r="T6">
        <f t="shared" si="4"/>
        <v>0</v>
      </c>
      <c r="U6" s="4"/>
      <c r="V6">
        <f>'טבלת עלויות'!T6*J6-'טבלת עלויות'!T6</f>
        <v>0</v>
      </c>
      <c r="Y6" s="7"/>
      <c r="AV6" s="16"/>
    </row>
    <row r="7" spans="1:48" thickBot="1" x14ac:dyDescent="0.35">
      <c r="A7" s="3" t="s">
        <v>78</v>
      </c>
      <c r="B7" s="23">
        <v>6</v>
      </c>
      <c r="C7" s="23" t="s">
        <v>78</v>
      </c>
      <c r="D7" s="23" t="s">
        <v>121</v>
      </c>
      <c r="E7" s="23" t="s">
        <v>164</v>
      </c>
      <c r="F7" s="23" t="s">
        <v>207</v>
      </c>
      <c r="G7" s="23" t="s">
        <v>250</v>
      </c>
      <c r="H7" s="19" t="s">
        <v>17</v>
      </c>
      <c r="I7" s="7">
        <v>6</v>
      </c>
      <c r="J7">
        <v>1</v>
      </c>
      <c r="K7" s="36"/>
      <c r="L7" s="4">
        <f>J7*2</f>
        <v>2</v>
      </c>
      <c r="M7" s="4"/>
      <c r="N7" s="4"/>
      <c r="O7" s="4"/>
      <c r="P7">
        <f t="shared" si="0"/>
        <v>0</v>
      </c>
      <c r="Q7">
        <f t="shared" si="1"/>
        <v>0</v>
      </c>
      <c r="R7">
        <f t="shared" si="2"/>
        <v>0</v>
      </c>
      <c r="S7">
        <f t="shared" si="3"/>
        <v>0</v>
      </c>
      <c r="T7">
        <f t="shared" si="4"/>
        <v>0</v>
      </c>
      <c r="U7" s="4"/>
      <c r="V7">
        <f>'טבלת עלויות'!T7*J7-'טבלת עלויות'!T7</f>
        <v>0</v>
      </c>
      <c r="Y7" s="24"/>
      <c r="AB7" s="1"/>
      <c r="AV7" s="17"/>
    </row>
    <row r="8" spans="1:48" ht="44.4" thickTop="1" thickBot="1" x14ac:dyDescent="0.35">
      <c r="A8" s="3" t="s">
        <v>79</v>
      </c>
      <c r="B8" s="23">
        <v>7</v>
      </c>
      <c r="C8" s="23" t="s">
        <v>79</v>
      </c>
      <c r="D8" s="23" t="s">
        <v>122</v>
      </c>
      <c r="E8" s="23" t="s">
        <v>165</v>
      </c>
      <c r="F8" s="23" t="s">
        <v>208</v>
      </c>
      <c r="G8" s="23" t="s">
        <v>251</v>
      </c>
      <c r="H8" s="1" t="s">
        <v>20</v>
      </c>
      <c r="I8" s="7">
        <v>7</v>
      </c>
      <c r="J8">
        <v>1</v>
      </c>
      <c r="K8" s="35">
        <f>J8*0.3</f>
        <v>0.3</v>
      </c>
      <c r="L8">
        <f>J8*1</f>
        <v>1</v>
      </c>
      <c r="P8">
        <f t="shared" si="0"/>
        <v>1.4999999999999999E-2</v>
      </c>
      <c r="Q8">
        <f t="shared" si="1"/>
        <v>0</v>
      </c>
      <c r="R8">
        <f t="shared" si="2"/>
        <v>0</v>
      </c>
      <c r="S8">
        <f t="shared" si="3"/>
        <v>0</v>
      </c>
      <c r="T8">
        <f t="shared" si="4"/>
        <v>0</v>
      </c>
      <c r="U8">
        <v>1.4999999999999999E-2</v>
      </c>
      <c r="V8">
        <f>'טבלת עלויות'!T8*J8-'טבלת עלויות'!T8</f>
        <v>0</v>
      </c>
      <c r="Y8" s="13" t="s">
        <v>295</v>
      </c>
      <c r="AA8" s="25" t="s">
        <v>289</v>
      </c>
      <c r="AC8" s="26" t="s">
        <v>290</v>
      </c>
      <c r="AV8" s="17"/>
    </row>
    <row r="9" spans="1:48" ht="15.6" thickTop="1" thickBot="1" x14ac:dyDescent="0.35">
      <c r="A9" s="3" t="s">
        <v>80</v>
      </c>
      <c r="B9" s="23">
        <v>8</v>
      </c>
      <c r="C9" s="23" t="s">
        <v>80</v>
      </c>
      <c r="D9" s="23" t="s">
        <v>123</v>
      </c>
      <c r="E9" s="23" t="s">
        <v>166</v>
      </c>
      <c r="F9" s="23" t="s">
        <v>209</v>
      </c>
      <c r="G9" s="23" t="s">
        <v>252</v>
      </c>
      <c r="H9" s="1" t="s">
        <v>21</v>
      </c>
      <c r="I9" s="7">
        <v>8</v>
      </c>
      <c r="J9">
        <v>1</v>
      </c>
      <c r="K9" s="35">
        <f>J9*0.6</f>
        <v>0.6</v>
      </c>
      <c r="L9">
        <f>J9*2</f>
        <v>2</v>
      </c>
      <c r="P9">
        <f t="shared" si="0"/>
        <v>0.03</v>
      </c>
      <c r="Q9">
        <f t="shared" si="1"/>
        <v>0</v>
      </c>
      <c r="R9">
        <f t="shared" si="2"/>
        <v>0</v>
      </c>
      <c r="S9">
        <f t="shared" si="3"/>
        <v>0</v>
      </c>
      <c r="T9">
        <f t="shared" si="4"/>
        <v>0</v>
      </c>
      <c r="U9">
        <v>0.03</v>
      </c>
      <c r="V9">
        <f>'טבלת עלויות'!T9*J9-'טבלת עלויות'!T9</f>
        <v>0</v>
      </c>
      <c r="Y9" s="14">
        <v>200</v>
      </c>
      <c r="AA9" s="30">
        <v>10</v>
      </c>
      <c r="AC9" s="12">
        <v>10</v>
      </c>
      <c r="AV9" s="17"/>
    </row>
    <row r="10" spans="1:48" ht="15.6" thickTop="1" thickBot="1" x14ac:dyDescent="0.35">
      <c r="A10" s="3" t="s">
        <v>81</v>
      </c>
      <c r="B10" s="23">
        <v>9</v>
      </c>
      <c r="C10" s="23" t="s">
        <v>81</v>
      </c>
      <c r="D10" s="23" t="s">
        <v>124</v>
      </c>
      <c r="E10" s="23" t="s">
        <v>167</v>
      </c>
      <c r="F10" s="23" t="s">
        <v>210</v>
      </c>
      <c r="G10" s="23" t="s">
        <v>253</v>
      </c>
      <c r="H10" s="19" t="s">
        <v>23</v>
      </c>
      <c r="I10" s="7">
        <v>9</v>
      </c>
      <c r="J10">
        <v>1</v>
      </c>
      <c r="K10" s="36"/>
      <c r="L10" s="4">
        <f t="shared" si="5"/>
        <v>1</v>
      </c>
      <c r="M10" s="4"/>
      <c r="N10" s="4"/>
      <c r="O10" s="4"/>
      <c r="P10">
        <f t="shared" si="0"/>
        <v>0</v>
      </c>
      <c r="Q10">
        <f t="shared" si="1"/>
        <v>0</v>
      </c>
      <c r="R10">
        <f t="shared" si="2"/>
        <v>0</v>
      </c>
      <c r="S10">
        <f t="shared" si="3"/>
        <v>0</v>
      </c>
      <c r="T10">
        <f t="shared" si="4"/>
        <v>0</v>
      </c>
      <c r="U10" s="4"/>
      <c r="V10">
        <f>'טבלת עלויות'!T10*J10-'טבלת עלויות'!T10</f>
        <v>0</v>
      </c>
      <c r="Y10" s="15" t="s">
        <v>22</v>
      </c>
      <c r="AA10" s="15" t="s">
        <v>22</v>
      </c>
      <c r="AC10" s="15" t="s">
        <v>22</v>
      </c>
      <c r="AV10" s="18"/>
    </row>
    <row r="11" spans="1:48" ht="15.6" thickTop="1" thickBot="1" x14ac:dyDescent="0.35">
      <c r="A11" s="3" t="s">
        <v>82</v>
      </c>
      <c r="B11" s="23">
        <v>10</v>
      </c>
      <c r="C11" s="23" t="s">
        <v>82</v>
      </c>
      <c r="D11" s="23" t="s">
        <v>125</v>
      </c>
      <c r="E11" s="23" t="s">
        <v>168</v>
      </c>
      <c r="F11" s="23" t="s">
        <v>211</v>
      </c>
      <c r="G11" s="23" t="s">
        <v>254</v>
      </c>
      <c r="H11" s="19" t="s">
        <v>24</v>
      </c>
      <c r="I11" s="7">
        <v>10</v>
      </c>
      <c r="J11">
        <v>1</v>
      </c>
      <c r="K11" s="36"/>
      <c r="L11" s="4">
        <f>J11*2</f>
        <v>2</v>
      </c>
      <c r="M11" s="4"/>
      <c r="N11" s="4"/>
      <c r="O11" s="4"/>
      <c r="P11">
        <f t="shared" si="0"/>
        <v>0</v>
      </c>
      <c r="Q11">
        <f t="shared" si="1"/>
        <v>0</v>
      </c>
      <c r="R11">
        <f t="shared" si="2"/>
        <v>0</v>
      </c>
      <c r="S11">
        <f t="shared" si="3"/>
        <v>0</v>
      </c>
      <c r="T11">
        <f t="shared" si="4"/>
        <v>0</v>
      </c>
      <c r="U11" s="4"/>
      <c r="V11">
        <f>'טבלת עלויות'!T11*J11-'טבלת עלויות'!T11</f>
        <v>0</v>
      </c>
      <c r="Y11" s="15">
        <f>Y9-SUM(K2:K1826)+19.49</f>
        <v>199.8</v>
      </c>
      <c r="AA11" s="15">
        <f>AA9-SUM(P2:P1738)+1.7115</f>
        <v>10</v>
      </c>
      <c r="AC11" s="15">
        <f>AC9-SUM(R2:R2854)</f>
        <v>10</v>
      </c>
    </row>
    <row r="12" spans="1:48" thickBot="1" x14ac:dyDescent="0.35">
      <c r="A12" s="3" t="s">
        <v>83</v>
      </c>
      <c r="B12" s="23">
        <v>11</v>
      </c>
      <c r="C12" s="23" t="s">
        <v>83</v>
      </c>
      <c r="D12" s="23" t="s">
        <v>126</v>
      </c>
      <c r="E12" s="23" t="s">
        <v>169</v>
      </c>
      <c r="F12" s="23" t="s">
        <v>212</v>
      </c>
      <c r="G12" s="23" t="s">
        <v>255</v>
      </c>
      <c r="H12" s="1" t="s">
        <v>25</v>
      </c>
      <c r="I12" s="7">
        <v>11</v>
      </c>
      <c r="J12">
        <v>1</v>
      </c>
      <c r="K12" s="35">
        <f>J12*1.6</f>
        <v>1.6</v>
      </c>
      <c r="L12">
        <f>J12*1</f>
        <v>1</v>
      </c>
      <c r="P12">
        <f t="shared" si="0"/>
        <v>0.8</v>
      </c>
      <c r="Q12">
        <f t="shared" si="1"/>
        <v>0</v>
      </c>
      <c r="R12">
        <f t="shared" si="2"/>
        <v>0</v>
      </c>
      <c r="S12">
        <f t="shared" si="3"/>
        <v>0</v>
      </c>
      <c r="T12">
        <f t="shared" si="4"/>
        <v>0</v>
      </c>
      <c r="U12">
        <v>0.8</v>
      </c>
      <c r="V12">
        <f>'טבלת עלויות'!T12*J12-'טבלת עלויות'!T12</f>
        <v>0</v>
      </c>
    </row>
    <row r="13" spans="1:48" ht="44.4" thickTop="1" thickBot="1" x14ac:dyDescent="0.35">
      <c r="A13" s="3" t="s">
        <v>84</v>
      </c>
      <c r="B13" s="23">
        <v>12</v>
      </c>
      <c r="C13" s="23" t="s">
        <v>84</v>
      </c>
      <c r="D13" s="23" t="s">
        <v>127</v>
      </c>
      <c r="E13" s="23" t="s">
        <v>170</v>
      </c>
      <c r="F13" s="23" t="s">
        <v>213</v>
      </c>
      <c r="G13" s="23" t="s">
        <v>256</v>
      </c>
      <c r="H13" s="1" t="s">
        <v>26</v>
      </c>
      <c r="I13" s="7">
        <v>12</v>
      </c>
      <c r="J13">
        <v>1</v>
      </c>
      <c r="K13" s="35">
        <f>J13*0.56</f>
        <v>0.56000000000000005</v>
      </c>
      <c r="L13">
        <f t="shared" si="5"/>
        <v>1</v>
      </c>
      <c r="P13">
        <f t="shared" si="0"/>
        <v>2.8000000000000001E-2</v>
      </c>
      <c r="Q13">
        <f t="shared" si="1"/>
        <v>0</v>
      </c>
      <c r="R13">
        <f t="shared" si="2"/>
        <v>0</v>
      </c>
      <c r="S13">
        <f t="shared" si="3"/>
        <v>0</v>
      </c>
      <c r="T13">
        <f t="shared" si="4"/>
        <v>0</v>
      </c>
      <c r="U13">
        <v>2.8000000000000001E-2</v>
      </c>
      <c r="V13">
        <f>'טבלת עלויות'!T13*J13-'טבלת עלויות'!T13</f>
        <v>0</v>
      </c>
      <c r="Y13" s="27" t="s">
        <v>291</v>
      </c>
      <c r="Z13" s="1"/>
      <c r="AA13" s="28" t="s">
        <v>292</v>
      </c>
      <c r="AC13" s="29" t="s">
        <v>293</v>
      </c>
    </row>
    <row r="14" spans="1:48" ht="15.6" thickTop="1" thickBot="1" x14ac:dyDescent="0.35">
      <c r="A14" s="3" t="s">
        <v>85</v>
      </c>
      <c r="B14" s="23">
        <v>13</v>
      </c>
      <c r="C14" s="23" t="s">
        <v>85</v>
      </c>
      <c r="D14" s="23" t="s">
        <v>128</v>
      </c>
      <c r="E14" s="23" t="s">
        <v>171</v>
      </c>
      <c r="F14" s="23" t="s">
        <v>214</v>
      </c>
      <c r="G14" s="23" t="s">
        <v>257</v>
      </c>
      <c r="H14" s="1" t="s">
        <v>29</v>
      </c>
      <c r="I14" s="7">
        <v>13</v>
      </c>
      <c r="J14">
        <v>1</v>
      </c>
      <c r="K14" s="35">
        <f>J14*1.12</f>
        <v>1.1200000000000001</v>
      </c>
      <c r="L14">
        <f>J14*2</f>
        <v>2</v>
      </c>
      <c r="P14">
        <f t="shared" si="0"/>
        <v>5.6000000000000001E-2</v>
      </c>
      <c r="Q14">
        <f t="shared" si="1"/>
        <v>0</v>
      </c>
      <c r="R14">
        <f t="shared" si="2"/>
        <v>0</v>
      </c>
      <c r="S14">
        <f t="shared" si="3"/>
        <v>0</v>
      </c>
      <c r="T14">
        <f t="shared" si="4"/>
        <v>0</v>
      </c>
      <c r="U14">
        <v>5.6000000000000001E-2</v>
      </c>
      <c r="V14">
        <f>'טבלת עלויות'!T14*J14-'טבלת עלויות'!T14</f>
        <v>0</v>
      </c>
      <c r="Y14" s="31">
        <v>10</v>
      </c>
      <c r="AA14" s="32">
        <v>10</v>
      </c>
      <c r="AC14" s="33">
        <v>10</v>
      </c>
    </row>
    <row r="15" spans="1:48" ht="15.6" thickTop="1" thickBot="1" x14ac:dyDescent="0.35">
      <c r="A15" s="3" t="s">
        <v>86</v>
      </c>
      <c r="B15" s="23">
        <v>14</v>
      </c>
      <c r="C15" s="23" t="s">
        <v>86</v>
      </c>
      <c r="D15" s="23" t="s">
        <v>129</v>
      </c>
      <c r="E15" s="23" t="s">
        <v>172</v>
      </c>
      <c r="F15" s="23" t="s">
        <v>215</v>
      </c>
      <c r="G15" s="23" t="s">
        <v>258</v>
      </c>
      <c r="H15" s="1" t="s">
        <v>30</v>
      </c>
      <c r="I15" s="7">
        <v>14</v>
      </c>
      <c r="J15">
        <v>1</v>
      </c>
      <c r="K15" s="35">
        <f>J15*0.17</f>
        <v>0.17</v>
      </c>
      <c r="L15">
        <f t="shared" si="5"/>
        <v>1</v>
      </c>
      <c r="P15">
        <f t="shared" si="0"/>
        <v>8.5000000000000006E-3</v>
      </c>
      <c r="Q15">
        <f t="shared" si="1"/>
        <v>0</v>
      </c>
      <c r="R15">
        <f t="shared" si="2"/>
        <v>0</v>
      </c>
      <c r="S15">
        <f t="shared" si="3"/>
        <v>0</v>
      </c>
      <c r="T15">
        <f t="shared" si="4"/>
        <v>0</v>
      </c>
      <c r="U15">
        <v>8.5000000000000006E-3</v>
      </c>
      <c r="V15">
        <f>'טבלת עלויות'!T15*J15-'טבלת עלויות'!T15</f>
        <v>0</v>
      </c>
      <c r="Y15" s="15" t="s">
        <v>22</v>
      </c>
      <c r="AA15" s="15" t="s">
        <v>22</v>
      </c>
      <c r="AC15" s="15" t="s">
        <v>22</v>
      </c>
    </row>
    <row r="16" spans="1:48" ht="15.6" thickTop="1" thickBot="1" x14ac:dyDescent="0.35">
      <c r="A16" s="3" t="s">
        <v>87</v>
      </c>
      <c r="B16" s="23">
        <v>15</v>
      </c>
      <c r="C16" s="23" t="s">
        <v>87</v>
      </c>
      <c r="D16" s="23" t="s">
        <v>130</v>
      </c>
      <c r="E16" s="23" t="s">
        <v>173</v>
      </c>
      <c r="F16" s="23" t="s">
        <v>216</v>
      </c>
      <c r="G16" s="23" t="s">
        <v>259</v>
      </c>
      <c r="H16" s="1" t="s">
        <v>31</v>
      </c>
      <c r="I16" s="7">
        <v>15</v>
      </c>
      <c r="J16">
        <v>1</v>
      </c>
      <c r="K16" s="35">
        <f>J16*0.52</f>
        <v>0.52</v>
      </c>
      <c r="L16">
        <f t="shared" si="5"/>
        <v>1</v>
      </c>
      <c r="P16">
        <f t="shared" si="0"/>
        <v>2.5999999999999999E-2</v>
      </c>
      <c r="Q16">
        <f t="shared" si="1"/>
        <v>0</v>
      </c>
      <c r="R16">
        <f t="shared" si="2"/>
        <v>0</v>
      </c>
      <c r="S16">
        <f t="shared" si="3"/>
        <v>0</v>
      </c>
      <c r="T16">
        <f t="shared" si="4"/>
        <v>0</v>
      </c>
      <c r="U16">
        <v>2.5999999999999999E-2</v>
      </c>
      <c r="V16">
        <f>'טבלת עלויות'!T16*J16-'טבלת עלויות'!T16</f>
        <v>0</v>
      </c>
      <c r="Y16" s="15">
        <f>Y14-SUM(Q2:Q769)</f>
        <v>10</v>
      </c>
      <c r="AA16" s="15">
        <f>AA14-SUM(T2:T624)</f>
        <v>10</v>
      </c>
      <c r="AC16" s="15">
        <f>AC14-SUM(S2:S676)</f>
        <v>9.99</v>
      </c>
    </row>
    <row r="17" spans="1:22" thickBot="1" x14ac:dyDescent="0.35">
      <c r="A17" s="3" t="s">
        <v>88</v>
      </c>
      <c r="B17" s="23">
        <v>16</v>
      </c>
      <c r="C17" s="23" t="s">
        <v>88</v>
      </c>
      <c r="D17" s="23" t="s">
        <v>131</v>
      </c>
      <c r="E17" s="23" t="s">
        <v>174</v>
      </c>
      <c r="F17" s="23" t="s">
        <v>217</v>
      </c>
      <c r="G17" s="23" t="s">
        <v>260</v>
      </c>
      <c r="H17" s="1" t="s">
        <v>32</v>
      </c>
      <c r="I17" s="7">
        <v>16</v>
      </c>
      <c r="J17">
        <v>1</v>
      </c>
      <c r="K17" s="35">
        <f>J17*1.4</f>
        <v>1.4</v>
      </c>
      <c r="L17">
        <f>J17*2</f>
        <v>2</v>
      </c>
      <c r="P17">
        <f t="shared" si="0"/>
        <v>5.1999999999999998E-2</v>
      </c>
      <c r="Q17">
        <f t="shared" si="1"/>
        <v>0</v>
      </c>
      <c r="R17">
        <f t="shared" si="2"/>
        <v>0</v>
      </c>
      <c r="S17">
        <f t="shared" si="3"/>
        <v>0</v>
      </c>
      <c r="T17">
        <f t="shared" si="4"/>
        <v>0</v>
      </c>
      <c r="U17">
        <v>5.1999999999999998E-2</v>
      </c>
      <c r="V17">
        <f>'טבלת עלויות'!T17*J17-'טבלת עלויות'!T17</f>
        <v>0</v>
      </c>
    </row>
    <row r="18" spans="1:22" thickBot="1" x14ac:dyDescent="0.35">
      <c r="A18" s="3" t="s">
        <v>89</v>
      </c>
      <c r="B18" s="23">
        <v>17</v>
      </c>
      <c r="C18" s="23" t="s">
        <v>89</v>
      </c>
      <c r="D18" s="23" t="s">
        <v>132</v>
      </c>
      <c r="E18" s="23" t="s">
        <v>175</v>
      </c>
      <c r="F18" s="23" t="s">
        <v>218</v>
      </c>
      <c r="G18" s="23" t="s">
        <v>261</v>
      </c>
      <c r="H18" s="1" t="s">
        <v>33</v>
      </c>
      <c r="I18" s="7">
        <v>17</v>
      </c>
      <c r="J18">
        <v>1</v>
      </c>
      <c r="K18" s="35">
        <f>J18*0.7</f>
        <v>0.7</v>
      </c>
      <c r="L18">
        <f t="shared" si="5"/>
        <v>1</v>
      </c>
      <c r="P18">
        <f t="shared" si="0"/>
        <v>3.5000000000000003E-2</v>
      </c>
      <c r="Q18">
        <f t="shared" si="1"/>
        <v>0</v>
      </c>
      <c r="R18">
        <f t="shared" si="2"/>
        <v>0</v>
      </c>
      <c r="S18">
        <f t="shared" si="3"/>
        <v>0</v>
      </c>
      <c r="T18">
        <f t="shared" si="4"/>
        <v>0</v>
      </c>
      <c r="U18">
        <v>3.5000000000000003E-2</v>
      </c>
      <c r="V18">
        <f>'טבלת עלויות'!T18*J18-'טבלת עלויות'!T18</f>
        <v>0</v>
      </c>
    </row>
    <row r="19" spans="1:22" thickBot="1" x14ac:dyDescent="0.35">
      <c r="A19" s="3" t="s">
        <v>90</v>
      </c>
      <c r="B19" s="23">
        <v>18</v>
      </c>
      <c r="C19" s="23" t="s">
        <v>90</v>
      </c>
      <c r="D19" s="23" t="s">
        <v>133</v>
      </c>
      <c r="E19" s="23" t="s">
        <v>176</v>
      </c>
      <c r="F19" s="23" t="s">
        <v>219</v>
      </c>
      <c r="G19" s="23" t="s">
        <v>262</v>
      </c>
      <c r="H19" s="1" t="s">
        <v>34</v>
      </c>
      <c r="I19" s="7">
        <v>18</v>
      </c>
      <c r="J19">
        <v>1</v>
      </c>
      <c r="K19" s="35">
        <f>J19*0.8</f>
        <v>0.8</v>
      </c>
      <c r="L19">
        <f>J19*0</f>
        <v>0</v>
      </c>
      <c r="P19">
        <f t="shared" si="0"/>
        <v>0.04</v>
      </c>
      <c r="Q19">
        <f t="shared" si="1"/>
        <v>0</v>
      </c>
      <c r="R19">
        <f t="shared" si="2"/>
        <v>0</v>
      </c>
      <c r="S19">
        <f t="shared" si="3"/>
        <v>0</v>
      </c>
      <c r="T19">
        <f t="shared" si="4"/>
        <v>0</v>
      </c>
      <c r="U19">
        <v>0.04</v>
      </c>
      <c r="V19">
        <f>'טבלת עלויות'!T19*J19-'טבלת עלויות'!T19</f>
        <v>0</v>
      </c>
    </row>
    <row r="20" spans="1:22" thickBot="1" x14ac:dyDescent="0.35">
      <c r="A20" s="3" t="s">
        <v>91</v>
      </c>
      <c r="B20" s="23">
        <v>19</v>
      </c>
      <c r="C20" s="23" t="s">
        <v>91</v>
      </c>
      <c r="D20" s="23" t="s">
        <v>134</v>
      </c>
      <c r="E20" s="23" t="s">
        <v>177</v>
      </c>
      <c r="F20" s="23" t="s">
        <v>220</v>
      </c>
      <c r="G20" s="23" t="s">
        <v>263</v>
      </c>
      <c r="H20" s="19" t="s">
        <v>35</v>
      </c>
      <c r="I20" s="7">
        <v>19</v>
      </c>
      <c r="J20">
        <v>1</v>
      </c>
      <c r="K20" s="36"/>
      <c r="L20" s="4">
        <f>J20*2</f>
        <v>2</v>
      </c>
      <c r="M20" s="4"/>
      <c r="N20" s="4"/>
      <c r="O20" s="4"/>
      <c r="P20">
        <f t="shared" si="0"/>
        <v>0</v>
      </c>
      <c r="Q20">
        <f t="shared" si="1"/>
        <v>0</v>
      </c>
      <c r="R20">
        <f t="shared" si="2"/>
        <v>0</v>
      </c>
      <c r="S20">
        <f t="shared" si="3"/>
        <v>0</v>
      </c>
      <c r="T20">
        <f t="shared" si="4"/>
        <v>0</v>
      </c>
      <c r="U20" s="4"/>
      <c r="V20">
        <f>'טבלת עלויות'!T20*J20-'טבלת עלויות'!T20</f>
        <v>0</v>
      </c>
    </row>
    <row r="21" spans="1:22" thickBot="1" x14ac:dyDescent="0.35">
      <c r="A21" s="3" t="s">
        <v>92</v>
      </c>
      <c r="B21" s="23">
        <v>20</v>
      </c>
      <c r="C21" s="23" t="s">
        <v>92</v>
      </c>
      <c r="D21" s="23" t="s">
        <v>135</v>
      </c>
      <c r="E21" s="23" t="s">
        <v>178</v>
      </c>
      <c r="F21" s="23" t="s">
        <v>221</v>
      </c>
      <c r="G21" s="23" t="s">
        <v>264</v>
      </c>
      <c r="H21" s="1" t="s">
        <v>36</v>
      </c>
      <c r="I21" s="7">
        <v>20</v>
      </c>
      <c r="J21">
        <v>1</v>
      </c>
      <c r="K21" s="35">
        <f>J21*0.26</f>
        <v>0.26</v>
      </c>
      <c r="L21">
        <f>J21*1</f>
        <v>1</v>
      </c>
      <c r="P21">
        <f t="shared" si="0"/>
        <v>1.2999999999999999E-2</v>
      </c>
      <c r="Q21">
        <f t="shared" si="1"/>
        <v>0</v>
      </c>
      <c r="R21">
        <f t="shared" si="2"/>
        <v>0</v>
      </c>
      <c r="S21">
        <f t="shared" si="3"/>
        <v>0</v>
      </c>
      <c r="T21">
        <f t="shared" si="4"/>
        <v>0</v>
      </c>
      <c r="U21">
        <v>1.2999999999999999E-2</v>
      </c>
      <c r="V21">
        <f>'טבלת עלויות'!T21*J21-'טבלת עלויות'!T21</f>
        <v>0</v>
      </c>
    </row>
    <row r="22" spans="1:22" thickBot="1" x14ac:dyDescent="0.35">
      <c r="A22" s="3" t="s">
        <v>93</v>
      </c>
      <c r="B22" s="23">
        <v>21</v>
      </c>
      <c r="C22" s="23" t="s">
        <v>93</v>
      </c>
      <c r="D22" s="23" t="s">
        <v>136</v>
      </c>
      <c r="E22" s="23" t="s">
        <v>179</v>
      </c>
      <c r="F22" s="23" t="s">
        <v>222</v>
      </c>
      <c r="G22" s="23" t="s">
        <v>265</v>
      </c>
      <c r="H22" s="19" t="s">
        <v>37</v>
      </c>
      <c r="I22" s="7">
        <v>21</v>
      </c>
      <c r="J22">
        <v>1</v>
      </c>
      <c r="K22" s="36"/>
      <c r="L22" s="4">
        <f>J22*1</f>
        <v>1</v>
      </c>
      <c r="M22" s="4"/>
      <c r="N22" s="4"/>
      <c r="O22" s="4"/>
      <c r="P22">
        <f t="shared" si="0"/>
        <v>0</v>
      </c>
      <c r="Q22">
        <f t="shared" si="1"/>
        <v>0</v>
      </c>
      <c r="R22">
        <f t="shared" si="2"/>
        <v>0</v>
      </c>
      <c r="S22">
        <f t="shared" si="3"/>
        <v>0</v>
      </c>
      <c r="T22">
        <f t="shared" si="4"/>
        <v>0</v>
      </c>
      <c r="U22" s="4"/>
      <c r="V22">
        <f>'טבלת עלויות'!T22*J22-'טבלת עלויות'!T22</f>
        <v>0</v>
      </c>
    </row>
    <row r="23" spans="1:22" thickBot="1" x14ac:dyDescent="0.35">
      <c r="A23" s="3" t="s">
        <v>94</v>
      </c>
      <c r="B23" s="23">
        <v>22</v>
      </c>
      <c r="C23" s="23" t="s">
        <v>94</v>
      </c>
      <c r="D23" s="23" t="s">
        <v>137</v>
      </c>
      <c r="E23" s="23" t="s">
        <v>180</v>
      </c>
      <c r="F23" s="23" t="s">
        <v>223</v>
      </c>
      <c r="G23" s="23" t="s">
        <v>266</v>
      </c>
      <c r="H23" s="19" t="s">
        <v>38</v>
      </c>
      <c r="I23" s="7">
        <v>22</v>
      </c>
      <c r="J23">
        <v>1</v>
      </c>
      <c r="K23" s="36"/>
      <c r="L23" s="4">
        <f>J23*1</f>
        <v>1</v>
      </c>
      <c r="M23" s="4"/>
      <c r="N23" s="4"/>
      <c r="O23" s="4">
        <f>J23*0.05</f>
        <v>0.05</v>
      </c>
      <c r="P23">
        <f t="shared" si="0"/>
        <v>0</v>
      </c>
      <c r="Q23">
        <f t="shared" si="1"/>
        <v>0</v>
      </c>
      <c r="R23">
        <f t="shared" si="2"/>
        <v>0</v>
      </c>
      <c r="S23">
        <f t="shared" si="3"/>
        <v>0</v>
      </c>
      <c r="T23">
        <f t="shared" si="4"/>
        <v>0</v>
      </c>
      <c r="U23" s="4"/>
      <c r="V23">
        <f>'טבלת עלויות'!T23*J23-'טבלת עלויות'!T23</f>
        <v>0</v>
      </c>
    </row>
    <row r="24" spans="1:22" thickBot="1" x14ac:dyDescent="0.35">
      <c r="A24" s="3" t="s">
        <v>95</v>
      </c>
      <c r="B24" s="23">
        <v>23</v>
      </c>
      <c r="C24" s="23" t="s">
        <v>95</v>
      </c>
      <c r="D24" s="23" t="s">
        <v>138</v>
      </c>
      <c r="E24" s="23" t="s">
        <v>181</v>
      </c>
      <c r="F24" s="23" t="s">
        <v>224</v>
      </c>
      <c r="G24" s="23" t="s">
        <v>267</v>
      </c>
      <c r="H24" s="1" t="s">
        <v>39</v>
      </c>
      <c r="I24" s="7">
        <v>23</v>
      </c>
      <c r="J24">
        <v>1</v>
      </c>
      <c r="K24" s="35">
        <f>J24*1.16</f>
        <v>1.1599999999999999</v>
      </c>
      <c r="L24">
        <f t="shared" si="5"/>
        <v>1</v>
      </c>
      <c r="O24" s="18">
        <f t="shared" ref="O24:O25" si="6">J24*0.05</f>
        <v>0.05</v>
      </c>
      <c r="P24">
        <f t="shared" si="0"/>
        <v>5.8000000000000003E-2</v>
      </c>
      <c r="Q24">
        <f t="shared" si="1"/>
        <v>0</v>
      </c>
      <c r="R24">
        <f t="shared" si="2"/>
        <v>0</v>
      </c>
      <c r="S24">
        <f t="shared" si="3"/>
        <v>0</v>
      </c>
      <c r="T24">
        <f t="shared" si="4"/>
        <v>0</v>
      </c>
      <c r="U24">
        <v>5.8000000000000003E-2</v>
      </c>
      <c r="V24">
        <f>'טבלת עלויות'!T24*J24-'טבלת עלויות'!T24</f>
        <v>0</v>
      </c>
    </row>
    <row r="25" spans="1:22" thickBot="1" x14ac:dyDescent="0.35">
      <c r="A25" s="3" t="s">
        <v>96</v>
      </c>
      <c r="B25" s="23">
        <v>24</v>
      </c>
      <c r="C25" s="23" t="s">
        <v>96</v>
      </c>
      <c r="D25" s="23" t="s">
        <v>139</v>
      </c>
      <c r="E25" s="23" t="s">
        <v>182</v>
      </c>
      <c r="F25" s="23" t="s">
        <v>225</v>
      </c>
      <c r="G25" s="23" t="s">
        <v>268</v>
      </c>
      <c r="H25" s="1" t="s">
        <v>40</v>
      </c>
      <c r="I25" s="7">
        <v>24</v>
      </c>
      <c r="J25">
        <v>1</v>
      </c>
      <c r="K25" s="35">
        <f>J25*0.8</f>
        <v>0.8</v>
      </c>
      <c r="L25">
        <f>J25*0</f>
        <v>0</v>
      </c>
      <c r="O25" s="18">
        <f t="shared" si="6"/>
        <v>0.05</v>
      </c>
      <c r="P25">
        <f t="shared" si="0"/>
        <v>0.04</v>
      </c>
      <c r="Q25">
        <f t="shared" si="1"/>
        <v>0</v>
      </c>
      <c r="R25">
        <f t="shared" si="2"/>
        <v>0</v>
      </c>
      <c r="S25">
        <f t="shared" si="3"/>
        <v>0</v>
      </c>
      <c r="T25">
        <f t="shared" si="4"/>
        <v>0</v>
      </c>
      <c r="U25">
        <v>0.04</v>
      </c>
      <c r="V25">
        <f>'טבלת עלויות'!T25*J25-'טבלת עלויות'!T25</f>
        <v>0</v>
      </c>
    </row>
    <row r="26" spans="1:22" thickBot="1" x14ac:dyDescent="0.35">
      <c r="A26" s="3" t="s">
        <v>97</v>
      </c>
      <c r="B26" s="23">
        <v>25</v>
      </c>
      <c r="C26" s="23" t="s">
        <v>97</v>
      </c>
      <c r="D26" s="23" t="s">
        <v>140</v>
      </c>
      <c r="E26" s="23" t="s">
        <v>183</v>
      </c>
      <c r="F26" s="23" t="s">
        <v>226</v>
      </c>
      <c r="G26" s="23" t="s">
        <v>269</v>
      </c>
      <c r="H26" s="19" t="s">
        <v>41</v>
      </c>
      <c r="I26" s="7">
        <v>25</v>
      </c>
      <c r="J26">
        <v>1</v>
      </c>
      <c r="K26" s="36"/>
      <c r="L26" s="4">
        <f t="shared" si="5"/>
        <v>1</v>
      </c>
      <c r="M26" s="4"/>
      <c r="N26" s="4"/>
      <c r="O26" s="4"/>
      <c r="P26">
        <f t="shared" si="0"/>
        <v>0</v>
      </c>
      <c r="Q26">
        <f t="shared" si="1"/>
        <v>0</v>
      </c>
      <c r="R26">
        <f t="shared" si="2"/>
        <v>0</v>
      </c>
      <c r="S26">
        <f t="shared" si="3"/>
        <v>0</v>
      </c>
      <c r="T26">
        <f t="shared" si="4"/>
        <v>0</v>
      </c>
      <c r="U26" s="4"/>
      <c r="V26">
        <f>'טבלת עלויות'!T26*J26-'טבלת עלויות'!T26</f>
        <v>0</v>
      </c>
    </row>
    <row r="27" spans="1:22" thickBot="1" x14ac:dyDescent="0.35">
      <c r="A27" s="3" t="s">
        <v>98</v>
      </c>
      <c r="B27" s="23">
        <v>26</v>
      </c>
      <c r="C27" s="23" t="s">
        <v>98</v>
      </c>
      <c r="D27" s="23" t="s">
        <v>141</v>
      </c>
      <c r="E27" s="23" t="s">
        <v>184</v>
      </c>
      <c r="F27" s="23" t="s">
        <v>227</v>
      </c>
      <c r="G27" s="23" t="s">
        <v>270</v>
      </c>
      <c r="H27" s="19" t="s">
        <v>42</v>
      </c>
      <c r="I27" s="7">
        <v>26</v>
      </c>
      <c r="J27">
        <v>1</v>
      </c>
      <c r="K27" s="36"/>
      <c r="L27" s="4">
        <f>J27*1</f>
        <v>1</v>
      </c>
      <c r="M27" s="4"/>
      <c r="N27" s="4"/>
      <c r="O27" s="4"/>
      <c r="P27">
        <f t="shared" si="0"/>
        <v>0</v>
      </c>
      <c r="Q27">
        <f t="shared" si="1"/>
        <v>0</v>
      </c>
      <c r="R27">
        <f t="shared" si="2"/>
        <v>0</v>
      </c>
      <c r="S27">
        <f t="shared" si="3"/>
        <v>0</v>
      </c>
      <c r="T27">
        <f t="shared" si="4"/>
        <v>0</v>
      </c>
      <c r="U27" s="4"/>
      <c r="V27">
        <f>'טבלת עלויות'!T27*J27-'טבלת עלויות'!T27</f>
        <v>0</v>
      </c>
    </row>
    <row r="28" spans="1:22" thickBot="1" x14ac:dyDescent="0.35">
      <c r="A28" s="3" t="s">
        <v>99</v>
      </c>
      <c r="B28" s="23">
        <v>27</v>
      </c>
      <c r="C28" s="23" t="s">
        <v>99</v>
      </c>
      <c r="D28" s="23" t="s">
        <v>142</v>
      </c>
      <c r="E28" s="23" t="s">
        <v>185</v>
      </c>
      <c r="F28" s="23" t="s">
        <v>228</v>
      </c>
      <c r="G28" s="23" t="s">
        <v>271</v>
      </c>
      <c r="H28" s="1" t="s">
        <v>43</v>
      </c>
      <c r="I28" s="7">
        <v>27</v>
      </c>
      <c r="J28">
        <v>1</v>
      </c>
      <c r="K28" s="35">
        <f>J28*0.6</f>
        <v>0.6</v>
      </c>
      <c r="L28">
        <f>J28*0</f>
        <v>0</v>
      </c>
      <c r="N28">
        <f>J28*0.1</f>
        <v>0.1</v>
      </c>
      <c r="P28">
        <f t="shared" si="0"/>
        <v>0.03</v>
      </c>
      <c r="Q28">
        <f t="shared" si="1"/>
        <v>0</v>
      </c>
      <c r="R28">
        <f t="shared" si="2"/>
        <v>0</v>
      </c>
      <c r="S28">
        <f t="shared" si="3"/>
        <v>0</v>
      </c>
      <c r="T28">
        <f t="shared" si="4"/>
        <v>0</v>
      </c>
      <c r="U28">
        <v>0.03</v>
      </c>
      <c r="V28">
        <f>'טבלת עלויות'!T28*J28-'טבלת עלויות'!T28</f>
        <v>0</v>
      </c>
    </row>
    <row r="29" spans="1:22" thickBot="1" x14ac:dyDescent="0.35">
      <c r="A29" s="3" t="s">
        <v>100</v>
      </c>
      <c r="B29" s="23">
        <v>28</v>
      </c>
      <c r="C29" s="23" t="s">
        <v>100</v>
      </c>
      <c r="D29" s="23" t="s">
        <v>143</v>
      </c>
      <c r="E29" s="23" t="s">
        <v>186</v>
      </c>
      <c r="F29" s="23" t="s">
        <v>229</v>
      </c>
      <c r="G29" s="23" t="s">
        <v>272</v>
      </c>
      <c r="H29" s="1" t="s">
        <v>44</v>
      </c>
      <c r="I29" s="7">
        <v>28</v>
      </c>
      <c r="J29">
        <v>1</v>
      </c>
      <c r="K29" s="35">
        <f>J29*0.58</f>
        <v>0.57999999999999996</v>
      </c>
      <c r="L29">
        <f>J29*0</f>
        <v>0</v>
      </c>
      <c r="N29">
        <f>J29*0.1</f>
        <v>0.1</v>
      </c>
      <c r="P29">
        <f t="shared" si="0"/>
        <v>2.9000000000000001E-2</v>
      </c>
      <c r="Q29">
        <f t="shared" si="1"/>
        <v>0</v>
      </c>
      <c r="R29">
        <f t="shared" si="2"/>
        <v>0</v>
      </c>
      <c r="S29">
        <f t="shared" si="3"/>
        <v>0</v>
      </c>
      <c r="T29">
        <f t="shared" si="4"/>
        <v>0</v>
      </c>
      <c r="U29">
        <v>2.9000000000000001E-2</v>
      </c>
      <c r="V29">
        <f>'טבלת עלויות'!T29*J29-'טבלת עלויות'!T29</f>
        <v>0</v>
      </c>
    </row>
    <row r="30" spans="1:22" thickBot="1" x14ac:dyDescent="0.35">
      <c r="A30" s="3" t="s">
        <v>101</v>
      </c>
      <c r="B30" s="23">
        <v>29</v>
      </c>
      <c r="C30" s="23" t="s">
        <v>101</v>
      </c>
      <c r="D30" s="23" t="s">
        <v>144</v>
      </c>
      <c r="E30" s="23" t="s">
        <v>187</v>
      </c>
      <c r="F30" s="23" t="s">
        <v>230</v>
      </c>
      <c r="G30" s="23" t="s">
        <v>273</v>
      </c>
      <c r="H30" s="19" t="s">
        <v>45</v>
      </c>
      <c r="I30" s="7">
        <v>29</v>
      </c>
      <c r="J30">
        <v>1</v>
      </c>
      <c r="K30" s="36"/>
      <c r="L30" s="4">
        <f>J30*1</f>
        <v>1</v>
      </c>
      <c r="M30" s="4"/>
      <c r="N30" s="4"/>
      <c r="O30" s="4"/>
      <c r="P30">
        <f t="shared" si="0"/>
        <v>0</v>
      </c>
      <c r="Q30">
        <f t="shared" si="1"/>
        <v>0</v>
      </c>
      <c r="R30">
        <f t="shared" si="2"/>
        <v>0</v>
      </c>
      <c r="S30">
        <f t="shared" si="3"/>
        <v>0</v>
      </c>
      <c r="T30">
        <f t="shared" si="4"/>
        <v>0</v>
      </c>
      <c r="U30" s="4"/>
      <c r="V30">
        <f>'טבלת עלויות'!T30*J30-'טבלת עלויות'!T30</f>
        <v>0</v>
      </c>
    </row>
    <row r="31" spans="1:22" ht="29.4" thickBot="1" x14ac:dyDescent="0.35">
      <c r="A31" s="3" t="s">
        <v>102</v>
      </c>
      <c r="B31" s="23">
        <v>30</v>
      </c>
      <c r="C31" s="23" t="s">
        <v>102</v>
      </c>
      <c r="D31" s="23" t="s">
        <v>145</v>
      </c>
      <c r="E31" s="23" t="s">
        <v>188</v>
      </c>
      <c r="F31" s="23" t="s">
        <v>231</v>
      </c>
      <c r="G31" s="23" t="s">
        <v>274</v>
      </c>
      <c r="H31" s="20" t="s">
        <v>46</v>
      </c>
      <c r="I31" s="7">
        <v>30</v>
      </c>
      <c r="J31">
        <v>1</v>
      </c>
      <c r="K31" s="36"/>
      <c r="L31" s="4">
        <f t="shared" si="5"/>
        <v>1</v>
      </c>
      <c r="M31" s="4"/>
      <c r="N31" s="4"/>
      <c r="O31" s="4"/>
      <c r="P31">
        <f t="shared" si="0"/>
        <v>0</v>
      </c>
      <c r="Q31">
        <f t="shared" si="1"/>
        <v>0</v>
      </c>
      <c r="R31">
        <f t="shared" si="2"/>
        <v>0</v>
      </c>
      <c r="S31">
        <f t="shared" si="3"/>
        <v>0</v>
      </c>
      <c r="T31">
        <f t="shared" si="4"/>
        <v>0</v>
      </c>
      <c r="U31" s="4"/>
      <c r="V31">
        <f>'טבלת עלויות'!T31*J31-'טבלת עלויות'!T31</f>
        <v>0</v>
      </c>
    </row>
    <row r="32" spans="1:22" thickBot="1" x14ac:dyDescent="0.35">
      <c r="A32" s="3" t="s">
        <v>103</v>
      </c>
      <c r="B32" s="23">
        <v>31</v>
      </c>
      <c r="C32" s="23" t="s">
        <v>103</v>
      </c>
      <c r="D32" s="23" t="s">
        <v>146</v>
      </c>
      <c r="E32" s="23" t="s">
        <v>189</v>
      </c>
      <c r="F32" s="23" t="s">
        <v>232</v>
      </c>
      <c r="G32" s="23" t="s">
        <v>275</v>
      </c>
      <c r="H32" s="1" t="s">
        <v>47</v>
      </c>
      <c r="I32" s="7">
        <v>31</v>
      </c>
      <c r="J32">
        <v>1</v>
      </c>
      <c r="K32" s="35">
        <f>J32*0.4</f>
        <v>0.4</v>
      </c>
      <c r="M32">
        <f>J32*2</f>
        <v>2</v>
      </c>
      <c r="P32">
        <f t="shared" si="0"/>
        <v>0.02</v>
      </c>
      <c r="Q32">
        <f t="shared" si="1"/>
        <v>0</v>
      </c>
      <c r="R32">
        <f t="shared" si="2"/>
        <v>0</v>
      </c>
      <c r="S32">
        <f t="shared" si="3"/>
        <v>0</v>
      </c>
      <c r="T32">
        <f t="shared" si="4"/>
        <v>0</v>
      </c>
      <c r="U32">
        <v>0.02</v>
      </c>
      <c r="V32">
        <f>'טבלת עלויות'!T32*J32-'טבלת עלויות'!T32</f>
        <v>0</v>
      </c>
    </row>
    <row r="33" spans="1:22" ht="29.4" thickBot="1" x14ac:dyDescent="0.35">
      <c r="A33" s="3" t="s">
        <v>104</v>
      </c>
      <c r="B33" s="23">
        <v>32</v>
      </c>
      <c r="C33" s="23" t="s">
        <v>104</v>
      </c>
      <c r="D33" s="23" t="s">
        <v>147</v>
      </c>
      <c r="E33" s="23" t="s">
        <v>190</v>
      </c>
      <c r="F33" s="23" t="s">
        <v>233</v>
      </c>
      <c r="G33" s="23" t="s">
        <v>276</v>
      </c>
      <c r="H33" s="2" t="s">
        <v>48</v>
      </c>
      <c r="I33" s="7">
        <v>32</v>
      </c>
      <c r="J33">
        <v>1</v>
      </c>
      <c r="K33" s="35">
        <f>J33*0.96</f>
        <v>0.96</v>
      </c>
      <c r="M33">
        <f t="shared" ref="M33:M42" si="7">J33*2</f>
        <v>2</v>
      </c>
      <c r="P33">
        <f t="shared" si="0"/>
        <v>4.8000000000000001E-2</v>
      </c>
      <c r="Q33">
        <f t="shared" si="1"/>
        <v>0</v>
      </c>
      <c r="R33">
        <f t="shared" si="2"/>
        <v>0</v>
      </c>
      <c r="S33">
        <f t="shared" si="3"/>
        <v>0</v>
      </c>
      <c r="T33">
        <f t="shared" si="4"/>
        <v>0</v>
      </c>
      <c r="U33">
        <v>4.8000000000000001E-2</v>
      </c>
      <c r="V33">
        <f>'טבלת עלויות'!T33*J33-'טבלת עלויות'!T33</f>
        <v>0</v>
      </c>
    </row>
    <row r="34" spans="1:22" ht="29.4" thickBot="1" x14ac:dyDescent="0.35">
      <c r="A34" s="3" t="s">
        <v>105</v>
      </c>
      <c r="B34" s="23">
        <v>33</v>
      </c>
      <c r="C34" s="23" t="s">
        <v>105</v>
      </c>
      <c r="D34" s="23" t="s">
        <v>148</v>
      </c>
      <c r="E34" s="23" t="s">
        <v>191</v>
      </c>
      <c r="F34" s="23" t="s">
        <v>234</v>
      </c>
      <c r="G34" s="23" t="s">
        <v>277</v>
      </c>
      <c r="H34" s="20" t="s">
        <v>49</v>
      </c>
      <c r="I34" s="7">
        <v>33</v>
      </c>
      <c r="J34">
        <v>1</v>
      </c>
      <c r="K34" s="36"/>
      <c r="L34" s="4"/>
      <c r="M34">
        <f t="shared" si="7"/>
        <v>2</v>
      </c>
      <c r="N34" s="4"/>
      <c r="O34" s="4"/>
      <c r="P34">
        <f t="shared" si="0"/>
        <v>0</v>
      </c>
      <c r="Q34">
        <f t="shared" si="1"/>
        <v>0</v>
      </c>
      <c r="R34">
        <f t="shared" si="2"/>
        <v>0</v>
      </c>
      <c r="S34">
        <f t="shared" si="3"/>
        <v>0</v>
      </c>
      <c r="T34">
        <f t="shared" si="4"/>
        <v>0</v>
      </c>
      <c r="U34" s="4"/>
      <c r="V34">
        <f>'טבלת עלויות'!T34*J34-'טבלת עלויות'!T34</f>
        <v>0</v>
      </c>
    </row>
    <row r="35" spans="1:22" thickBot="1" x14ac:dyDescent="0.35">
      <c r="A35" s="3" t="s">
        <v>106</v>
      </c>
      <c r="B35" s="23">
        <v>34</v>
      </c>
      <c r="C35" s="23" t="s">
        <v>106</v>
      </c>
      <c r="D35" s="23" t="s">
        <v>149</v>
      </c>
      <c r="E35" s="23" t="s">
        <v>192</v>
      </c>
      <c r="F35" s="23" t="s">
        <v>235</v>
      </c>
      <c r="G35" s="23" t="s">
        <v>278</v>
      </c>
      <c r="H35" s="1" t="s">
        <v>50</v>
      </c>
      <c r="I35" s="7">
        <v>34</v>
      </c>
      <c r="J35">
        <v>1</v>
      </c>
      <c r="K35" s="35">
        <f>J35*0.6</f>
        <v>0.6</v>
      </c>
      <c r="M35">
        <f t="shared" si="7"/>
        <v>2</v>
      </c>
      <c r="P35">
        <f t="shared" si="0"/>
        <v>0.03</v>
      </c>
      <c r="Q35">
        <f t="shared" si="1"/>
        <v>0</v>
      </c>
      <c r="R35">
        <f t="shared" si="2"/>
        <v>0</v>
      </c>
      <c r="S35">
        <f t="shared" si="3"/>
        <v>0</v>
      </c>
      <c r="T35">
        <f t="shared" si="4"/>
        <v>0</v>
      </c>
      <c r="U35">
        <v>0.03</v>
      </c>
      <c r="V35">
        <f>'טבלת עלויות'!T35*J35-'טבלת עלויות'!T35</f>
        <v>0</v>
      </c>
    </row>
    <row r="36" spans="1:22" thickBot="1" x14ac:dyDescent="0.35">
      <c r="A36" s="3" t="s">
        <v>107</v>
      </c>
      <c r="B36" s="23">
        <v>35</v>
      </c>
      <c r="C36" s="23" t="s">
        <v>107</v>
      </c>
      <c r="D36" s="23" t="s">
        <v>150</v>
      </c>
      <c r="E36" s="23" t="s">
        <v>193</v>
      </c>
      <c r="F36" s="23" t="s">
        <v>236</v>
      </c>
      <c r="G36" s="23" t="s">
        <v>279</v>
      </c>
      <c r="H36" s="19" t="s">
        <v>51</v>
      </c>
      <c r="I36" s="7">
        <v>35</v>
      </c>
      <c r="J36">
        <v>1</v>
      </c>
      <c r="K36" s="36"/>
      <c r="L36" s="4"/>
      <c r="M36">
        <f t="shared" si="7"/>
        <v>2</v>
      </c>
      <c r="N36" s="4"/>
      <c r="O36" s="4"/>
      <c r="P36">
        <f t="shared" si="0"/>
        <v>0</v>
      </c>
      <c r="Q36">
        <f t="shared" si="1"/>
        <v>0</v>
      </c>
      <c r="R36">
        <f t="shared" si="2"/>
        <v>0</v>
      </c>
      <c r="S36">
        <f t="shared" si="3"/>
        <v>0</v>
      </c>
      <c r="T36">
        <f t="shared" si="4"/>
        <v>0</v>
      </c>
      <c r="U36" s="4"/>
      <c r="V36">
        <f>'טבלת עלויות'!T36*J36-'טבלת עלויות'!T36</f>
        <v>0</v>
      </c>
    </row>
    <row r="37" spans="1:22" thickBot="1" x14ac:dyDescent="0.35">
      <c r="A37" s="3" t="s">
        <v>108</v>
      </c>
      <c r="B37" s="23">
        <v>36</v>
      </c>
      <c r="C37" s="23" t="s">
        <v>108</v>
      </c>
      <c r="D37" s="23" t="s">
        <v>151</v>
      </c>
      <c r="E37" s="23" t="s">
        <v>194</v>
      </c>
      <c r="F37" s="23" t="s">
        <v>237</v>
      </c>
      <c r="G37" s="23" t="s">
        <v>280</v>
      </c>
      <c r="H37" s="1" t="s">
        <v>52</v>
      </c>
      <c r="I37" s="7">
        <v>36</v>
      </c>
      <c r="J37">
        <v>1</v>
      </c>
      <c r="K37" s="35">
        <f>J37*1.12</f>
        <v>1.1200000000000001</v>
      </c>
      <c r="M37">
        <f t="shared" si="7"/>
        <v>2</v>
      </c>
      <c r="P37">
        <f t="shared" si="0"/>
        <v>5.6000000000000001E-2</v>
      </c>
      <c r="Q37">
        <f t="shared" si="1"/>
        <v>0</v>
      </c>
      <c r="R37">
        <f t="shared" si="2"/>
        <v>0</v>
      </c>
      <c r="S37">
        <f t="shared" si="3"/>
        <v>0</v>
      </c>
      <c r="T37">
        <f t="shared" si="4"/>
        <v>0</v>
      </c>
      <c r="U37">
        <v>5.6000000000000001E-2</v>
      </c>
      <c r="V37">
        <f>'טבלת עלויות'!T37*J37-'טבלת עלויות'!T37</f>
        <v>0</v>
      </c>
    </row>
    <row r="38" spans="1:22" thickBot="1" x14ac:dyDescent="0.35">
      <c r="A38" s="3" t="s">
        <v>109</v>
      </c>
      <c r="B38" s="23">
        <v>37</v>
      </c>
      <c r="C38" s="23" t="s">
        <v>109</v>
      </c>
      <c r="D38" s="23" t="s">
        <v>152</v>
      </c>
      <c r="E38" s="23" t="s">
        <v>195</v>
      </c>
      <c r="F38" s="23" t="s">
        <v>238</v>
      </c>
      <c r="G38" s="23" t="s">
        <v>281</v>
      </c>
      <c r="H38" s="1" t="s">
        <v>53</v>
      </c>
      <c r="I38" s="7">
        <v>37</v>
      </c>
      <c r="J38">
        <v>1</v>
      </c>
      <c r="K38" s="35">
        <f>J38*0.34</f>
        <v>0.34</v>
      </c>
      <c r="M38">
        <f t="shared" si="7"/>
        <v>2</v>
      </c>
      <c r="P38">
        <f t="shared" si="0"/>
        <v>1.7000000000000001E-2</v>
      </c>
      <c r="Q38">
        <f t="shared" si="1"/>
        <v>0</v>
      </c>
      <c r="R38">
        <f t="shared" si="2"/>
        <v>0</v>
      </c>
      <c r="S38">
        <f t="shared" si="3"/>
        <v>0</v>
      </c>
      <c r="T38">
        <f t="shared" si="4"/>
        <v>0</v>
      </c>
      <c r="U38">
        <v>1.7000000000000001E-2</v>
      </c>
      <c r="V38">
        <f>'טבלת עלויות'!T38*J38-'טבלת עלויות'!T38</f>
        <v>0</v>
      </c>
    </row>
    <row r="39" spans="1:22" thickBot="1" x14ac:dyDescent="0.35">
      <c r="A39" s="3" t="s">
        <v>110</v>
      </c>
      <c r="B39" s="23">
        <v>38</v>
      </c>
      <c r="C39" s="23" t="s">
        <v>110</v>
      </c>
      <c r="D39" s="23" t="s">
        <v>153</v>
      </c>
      <c r="E39" s="23" t="s">
        <v>196</v>
      </c>
      <c r="F39" s="23" t="s">
        <v>239</v>
      </c>
      <c r="G39" s="23" t="s">
        <v>282</v>
      </c>
      <c r="H39" s="1" t="s">
        <v>54</v>
      </c>
      <c r="I39" s="7">
        <v>38</v>
      </c>
      <c r="J39">
        <v>1</v>
      </c>
      <c r="K39" s="35">
        <f>J39*0.52</f>
        <v>0.52</v>
      </c>
      <c r="M39">
        <f t="shared" si="7"/>
        <v>2</v>
      </c>
      <c r="P39">
        <f t="shared" si="0"/>
        <v>2.5999999999999999E-2</v>
      </c>
      <c r="Q39">
        <f t="shared" si="1"/>
        <v>0</v>
      </c>
      <c r="R39">
        <f t="shared" si="2"/>
        <v>0</v>
      </c>
      <c r="S39">
        <f t="shared" si="3"/>
        <v>0</v>
      </c>
      <c r="T39">
        <f t="shared" si="4"/>
        <v>0</v>
      </c>
      <c r="U39">
        <v>2.5999999999999999E-2</v>
      </c>
      <c r="V39">
        <f>'טבלת עלויות'!T39*J39-'טבלת עלויות'!T39</f>
        <v>0</v>
      </c>
    </row>
    <row r="40" spans="1:22" thickBot="1" x14ac:dyDescent="0.35">
      <c r="A40" s="3" t="s">
        <v>111</v>
      </c>
      <c r="B40" s="23">
        <v>39</v>
      </c>
      <c r="C40" s="23" t="s">
        <v>111</v>
      </c>
      <c r="D40" s="23" t="s">
        <v>154</v>
      </c>
      <c r="E40" s="23" t="s">
        <v>197</v>
      </c>
      <c r="F40" s="23" t="s">
        <v>240</v>
      </c>
      <c r="G40" s="23" t="s">
        <v>283</v>
      </c>
      <c r="H40" s="19" t="s">
        <v>55</v>
      </c>
      <c r="I40" s="7">
        <v>39</v>
      </c>
      <c r="J40">
        <v>1</v>
      </c>
      <c r="K40" s="36"/>
      <c r="L40" s="4"/>
      <c r="M40">
        <f t="shared" si="7"/>
        <v>2</v>
      </c>
      <c r="N40" s="4"/>
      <c r="O40" s="4"/>
      <c r="P40">
        <f t="shared" si="0"/>
        <v>0</v>
      </c>
      <c r="Q40">
        <f t="shared" si="1"/>
        <v>0</v>
      </c>
      <c r="R40">
        <f t="shared" si="2"/>
        <v>0</v>
      </c>
      <c r="S40">
        <f t="shared" si="3"/>
        <v>0</v>
      </c>
      <c r="T40">
        <f t="shared" si="4"/>
        <v>0</v>
      </c>
      <c r="U40" s="4"/>
      <c r="V40">
        <f>'טבלת עלויות'!T40*J40-'טבלת עלויות'!T40</f>
        <v>0</v>
      </c>
    </row>
    <row r="41" spans="1:22" thickBot="1" x14ac:dyDescent="0.35">
      <c r="A41" s="3" t="s">
        <v>112</v>
      </c>
      <c r="B41" s="23">
        <v>40</v>
      </c>
      <c r="C41" s="23" t="s">
        <v>112</v>
      </c>
      <c r="D41" s="23" t="s">
        <v>155</v>
      </c>
      <c r="E41" s="23" t="s">
        <v>198</v>
      </c>
      <c r="F41" s="23" t="s">
        <v>241</v>
      </c>
      <c r="G41" s="23" t="s">
        <v>284</v>
      </c>
      <c r="H41" s="1" t="s">
        <v>56</v>
      </c>
      <c r="I41" s="7">
        <v>40</v>
      </c>
      <c r="J41">
        <v>1</v>
      </c>
      <c r="K41" s="35">
        <f>J41*1.04</f>
        <v>1.04</v>
      </c>
      <c r="M41">
        <f t="shared" si="7"/>
        <v>2</v>
      </c>
      <c r="P41">
        <f t="shared" si="0"/>
        <v>5.1999999999999998E-2</v>
      </c>
      <c r="Q41">
        <f t="shared" si="1"/>
        <v>0</v>
      </c>
      <c r="R41">
        <f t="shared" si="2"/>
        <v>0</v>
      </c>
      <c r="S41">
        <f t="shared" si="3"/>
        <v>0</v>
      </c>
      <c r="T41">
        <f t="shared" si="4"/>
        <v>0</v>
      </c>
      <c r="U41">
        <v>5.1999999999999998E-2</v>
      </c>
      <c r="V41">
        <f>'טבלת עלויות'!T41*J41-'טבלת עלויות'!T41</f>
        <v>0</v>
      </c>
    </row>
    <row r="42" spans="1:22" thickBot="1" x14ac:dyDescent="0.35">
      <c r="A42" s="3" t="s">
        <v>113</v>
      </c>
      <c r="B42" s="23">
        <v>41</v>
      </c>
      <c r="C42" s="23" t="s">
        <v>113</v>
      </c>
      <c r="D42" s="23" t="s">
        <v>156</v>
      </c>
      <c r="E42" s="23" t="s">
        <v>199</v>
      </c>
      <c r="F42" s="23" t="s">
        <v>242</v>
      </c>
      <c r="G42" s="23" t="s">
        <v>285</v>
      </c>
      <c r="H42" s="1" t="s">
        <v>57</v>
      </c>
      <c r="I42" s="7">
        <v>41</v>
      </c>
      <c r="J42">
        <v>1</v>
      </c>
      <c r="K42" s="35">
        <f t="shared" ref="K42:K44" si="8">J42*0.5</f>
        <v>0.5</v>
      </c>
      <c r="M42">
        <f t="shared" si="7"/>
        <v>2</v>
      </c>
      <c r="P42">
        <f t="shared" si="0"/>
        <v>0.1</v>
      </c>
      <c r="Q42">
        <f t="shared" si="1"/>
        <v>0</v>
      </c>
      <c r="R42">
        <f t="shared" si="2"/>
        <v>0</v>
      </c>
      <c r="S42">
        <f t="shared" si="3"/>
        <v>0</v>
      </c>
      <c r="T42">
        <f t="shared" si="4"/>
        <v>0</v>
      </c>
      <c r="U42">
        <v>0.1</v>
      </c>
      <c r="V42">
        <f>'טבלת עלויות'!T42*J42-'טבלת עלויות'!T42</f>
        <v>0</v>
      </c>
    </row>
    <row r="43" spans="1:22" ht="29.4" thickBot="1" x14ac:dyDescent="0.35">
      <c r="A43" s="3" t="s">
        <v>114</v>
      </c>
      <c r="B43" s="23">
        <v>42</v>
      </c>
      <c r="C43" s="23" t="s">
        <v>114</v>
      </c>
      <c r="D43" s="23" t="s">
        <v>157</v>
      </c>
      <c r="E43" s="23" t="s">
        <v>200</v>
      </c>
      <c r="F43" s="23" t="s">
        <v>243</v>
      </c>
      <c r="G43" s="23" t="s">
        <v>286</v>
      </c>
      <c r="H43" s="2" t="s">
        <v>58</v>
      </c>
      <c r="I43" s="7">
        <v>42</v>
      </c>
      <c r="J43">
        <v>1</v>
      </c>
      <c r="K43" s="35">
        <f t="shared" si="8"/>
        <v>0.5</v>
      </c>
      <c r="P43">
        <f>COUNTIF(A:A,C43)*0</f>
        <v>0</v>
      </c>
      <c r="Q43">
        <f t="shared" si="1"/>
        <v>0</v>
      </c>
      <c r="R43">
        <f t="shared" si="2"/>
        <v>0</v>
      </c>
      <c r="S43">
        <f t="shared" si="3"/>
        <v>0</v>
      </c>
      <c r="T43">
        <f t="shared" si="4"/>
        <v>0</v>
      </c>
      <c r="U43">
        <v>0.1</v>
      </c>
      <c r="V43">
        <f>'טבלת עלויות'!T43*J43-'טבלת עלויות'!T43</f>
        <v>0</v>
      </c>
    </row>
    <row r="44" spans="1:22" thickBot="1" x14ac:dyDescent="0.35">
      <c r="A44" s="3" t="s">
        <v>115</v>
      </c>
      <c r="B44" s="23">
        <v>43</v>
      </c>
      <c r="C44" s="23" t="s">
        <v>115</v>
      </c>
      <c r="D44" s="23" t="s">
        <v>158</v>
      </c>
      <c r="E44" s="23" t="s">
        <v>201</v>
      </c>
      <c r="F44" s="23" t="s">
        <v>244</v>
      </c>
      <c r="G44" s="23" t="s">
        <v>287</v>
      </c>
      <c r="H44" s="1" t="s">
        <v>59</v>
      </c>
      <c r="I44" s="7">
        <v>43</v>
      </c>
      <c r="J44">
        <v>1</v>
      </c>
      <c r="K44" s="35">
        <f t="shared" si="8"/>
        <v>0.5</v>
      </c>
      <c r="P44">
        <f>COUNTIF(A:A,C44)*0</f>
        <v>0</v>
      </c>
      <c r="Q44">
        <f t="shared" si="1"/>
        <v>0</v>
      </c>
      <c r="R44">
        <f t="shared" si="2"/>
        <v>0</v>
      </c>
      <c r="S44">
        <f t="shared" si="3"/>
        <v>0</v>
      </c>
      <c r="T44">
        <f t="shared" si="4"/>
        <v>0</v>
      </c>
      <c r="U44">
        <v>0.1</v>
      </c>
      <c r="V44">
        <f>'טבלת עלויות'!T44*J44-'טבלת עלויות'!T44</f>
        <v>0</v>
      </c>
    </row>
    <row r="45" spans="1:22" thickBot="1" x14ac:dyDescent="0.35">
      <c r="B45" s="23">
        <v>44</v>
      </c>
      <c r="F45" s="23" t="s">
        <v>294</v>
      </c>
      <c r="L45">
        <f t="shared" si="5"/>
        <v>0</v>
      </c>
      <c r="V45">
        <f>'טבלת עלויות'!T45*J45-'טבלת עלויות'!T45</f>
        <v>0</v>
      </c>
    </row>
    <row r="46" spans="1:22" thickBot="1" x14ac:dyDescent="0.35">
      <c r="H46" s="34"/>
      <c r="I46"/>
      <c r="L46">
        <f t="shared" si="5"/>
        <v>0</v>
      </c>
      <c r="V46">
        <f>'טבלת עלויות'!T46*J46-'טבלת עלויות'!T46</f>
        <v>0</v>
      </c>
    </row>
    <row r="47" spans="1:22" thickBot="1" x14ac:dyDescent="0.35">
      <c r="I47"/>
      <c r="J47"/>
      <c r="L47">
        <f t="shared" si="5"/>
        <v>0</v>
      </c>
    </row>
    <row r="48" spans="1:22" thickBot="1" x14ac:dyDescent="0.35">
      <c r="I48"/>
      <c r="L48">
        <f t="shared" si="5"/>
        <v>0</v>
      </c>
    </row>
    <row r="54" spans="1:1" thickBot="1" x14ac:dyDescent="0.35">
      <c r="A54" s="3" t="s">
        <v>202</v>
      </c>
    </row>
  </sheetData>
  <conditionalFormatting sqref="AA11">
    <cfRule type="cellIs" dxfId="12" priority="4" operator="greaterThan">
      <formula>6</formula>
    </cfRule>
    <cfRule type="cellIs" dxfId="11" priority="11" operator="lessThan">
      <formula>4</formula>
    </cfRule>
    <cfRule type="cellIs" dxfId="10" priority="12" operator="between">
      <formula>6.9</formula>
      <formula>4</formula>
    </cfRule>
    <cfRule type="cellIs" dxfId="9" priority="13" operator="greaterThan">
      <formula>7</formula>
    </cfRule>
  </conditionalFormatting>
  <conditionalFormatting sqref="Y5">
    <cfRule type="cellIs" dxfId="8" priority="8" operator="lessThan">
      <formula>50</formula>
    </cfRule>
    <cfRule type="cellIs" dxfId="7" priority="9" operator="between">
      <formula>100</formula>
      <formula>51</formula>
    </cfRule>
    <cfRule type="cellIs" dxfId="6" priority="10" operator="greaterThan">
      <formula>101</formula>
    </cfRule>
  </conditionalFormatting>
  <conditionalFormatting sqref="AA5">
    <cfRule type="cellIs" dxfId="5" priority="5" operator="lessThan">
      <formula>50</formula>
    </cfRule>
    <cfRule type="cellIs" dxfId="4" priority="6" operator="between">
      <formula>100</formula>
      <formula>50</formula>
    </cfRule>
    <cfRule type="cellIs" dxfId="3" priority="7" operator="greaterThan">
      <formula>100</formula>
    </cfRule>
  </conditionalFormatting>
  <conditionalFormatting sqref="Y11">
    <cfRule type="cellIs" dxfId="2" priority="1" operator="lessThan">
      <formula>50</formula>
    </cfRule>
    <cfRule type="cellIs" dxfId="1" priority="2" operator="between">
      <formula>100</formula>
      <formula>51</formula>
    </cfRule>
    <cfRule type="cellIs" dxfId="0" priority="3" operator="greaterThan">
      <formula>101</formula>
    </cfRule>
  </conditionalFormatting>
  <pageMargins left="0.7" right="0.7" top="0.75" bottom="0.75" header="0.3" footer="0.3"/>
  <pageSetup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B9031-1AC3-4C38-A583-B6E535A4E147}">
  <dimension ref="A1"/>
  <sheetViews>
    <sheetView rightToLeft="1"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4</vt:i4>
      </vt:variant>
    </vt:vector>
  </HeadingPairs>
  <TitlesOfParts>
    <vt:vector size="4" baseType="lpstr">
      <vt:lpstr>גלמי רק (להעתיק ולהדביק)</vt:lpstr>
      <vt:lpstr>טבלת עלויות</vt:lpstr>
      <vt:lpstr>גיליון1</vt:lpstr>
      <vt:lpstr>טבלת מחשבון לצרכן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Alon</cp:lastModifiedBy>
  <cp:revision/>
  <dcterms:created xsi:type="dcterms:W3CDTF">2020-07-07T08:41:01Z</dcterms:created>
  <dcterms:modified xsi:type="dcterms:W3CDTF">2020-08-14T07:28:46Z</dcterms:modified>
  <cp:category/>
  <cp:contentStatus/>
</cp:coreProperties>
</file>