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8800" windowHeight="12300"/>
  </bookViews>
  <sheets>
    <sheet name="12 MO. Road" sheetId="1" r:id="rId1"/>
    <sheet name="Holidays" sheetId="2" r:id="rId2"/>
    <sheet name="DO NOT TOUCH" sheetId="3" r:id="rId3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0" i="1" l="1"/>
  <c r="A19" i="1" l="1"/>
  <c r="D19" i="3" l="1"/>
  <c r="C19" i="3"/>
  <c r="B19" i="3"/>
  <c r="A19" i="3"/>
  <c r="G19" i="1"/>
  <c r="C19" i="1"/>
  <c r="B19" i="1"/>
  <c r="B47" i="1"/>
  <c r="F19" i="1" l="1"/>
  <c r="D20" i="3"/>
  <c r="C20" i="3"/>
  <c r="A20" i="3"/>
  <c r="F20" i="1" s="1"/>
  <c r="B20" i="3"/>
  <c r="G20" i="1"/>
  <c r="D19" i="1"/>
  <c r="Q19" i="1" s="1"/>
  <c r="E19" i="1"/>
  <c r="C20" i="1"/>
  <c r="F4" i="2"/>
  <c r="G4" i="2"/>
  <c r="H4" i="2"/>
  <c r="I4" i="2"/>
  <c r="J4" i="2"/>
  <c r="K4" i="2"/>
  <c r="L4" i="2"/>
  <c r="M4" i="2"/>
  <c r="N4" i="2"/>
  <c r="O4" i="2"/>
  <c r="P4" i="2"/>
  <c r="Q4" i="2"/>
  <c r="R4" i="2"/>
  <c r="E4" i="2"/>
  <c r="N11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E12" i="2"/>
  <c r="K11" i="2"/>
  <c r="L11" i="2"/>
  <c r="M11" i="2"/>
  <c r="O11" i="2"/>
  <c r="P11" i="2"/>
  <c r="Q11" i="2"/>
  <c r="R11" i="2"/>
  <c r="J11" i="2"/>
  <c r="E11" i="2"/>
  <c r="F11" i="2"/>
  <c r="G11" i="2"/>
  <c r="H11" i="2"/>
  <c r="I11" i="2"/>
  <c r="E5" i="2"/>
  <c r="E6" i="2"/>
  <c r="E7" i="2"/>
  <c r="E8" i="2"/>
  <c r="E9" i="2"/>
  <c r="E10" i="2"/>
  <c r="E13" i="2"/>
  <c r="D20" i="1" l="1"/>
  <c r="H19" i="1"/>
  <c r="E20" i="1"/>
  <c r="O2" i="2"/>
  <c r="P2" i="2"/>
  <c r="Q2" i="2"/>
  <c r="R2" i="2"/>
  <c r="O3" i="2"/>
  <c r="P3" i="2"/>
  <c r="Q3" i="2"/>
  <c r="R3" i="2"/>
  <c r="O5" i="2"/>
  <c r="P5" i="2"/>
  <c r="Q5" i="2"/>
  <c r="R5" i="2"/>
  <c r="O6" i="2"/>
  <c r="P6" i="2"/>
  <c r="Q6" i="2"/>
  <c r="R6" i="2"/>
  <c r="O7" i="2"/>
  <c r="P7" i="2"/>
  <c r="Q7" i="2"/>
  <c r="R7" i="2"/>
  <c r="O8" i="2"/>
  <c r="P8" i="2"/>
  <c r="Q8" i="2"/>
  <c r="R8" i="2"/>
  <c r="O9" i="2"/>
  <c r="P9" i="2"/>
  <c r="Q9" i="2"/>
  <c r="R9" i="2"/>
  <c r="O10" i="2"/>
  <c r="P10" i="2"/>
  <c r="Q10" i="2"/>
  <c r="R10" i="2"/>
  <c r="O13" i="2"/>
  <c r="P13" i="2"/>
  <c r="Q13" i="2"/>
  <c r="R13" i="2"/>
  <c r="N2" i="2"/>
  <c r="N3" i="2"/>
  <c r="N5" i="2"/>
  <c r="N6" i="2"/>
  <c r="N7" i="2"/>
  <c r="N8" i="2"/>
  <c r="N9" i="2"/>
  <c r="N10" i="2"/>
  <c r="N13" i="2"/>
  <c r="Q20" i="1" l="1"/>
  <c r="E2" i="2"/>
  <c r="E3" i="2"/>
  <c r="K2" i="2" l="1"/>
  <c r="L2" i="2"/>
  <c r="M2" i="2"/>
  <c r="K3" i="2"/>
  <c r="L3" i="2"/>
  <c r="M3" i="2"/>
  <c r="K5" i="2"/>
  <c r="L5" i="2"/>
  <c r="M5" i="2"/>
  <c r="K6" i="2"/>
  <c r="L6" i="2"/>
  <c r="M6" i="2"/>
  <c r="K7" i="2"/>
  <c r="L7" i="2"/>
  <c r="M7" i="2"/>
  <c r="K8" i="2"/>
  <c r="L8" i="2"/>
  <c r="M8" i="2"/>
  <c r="K9" i="2"/>
  <c r="L9" i="2"/>
  <c r="M9" i="2"/>
  <c r="K10" i="2"/>
  <c r="L10" i="2"/>
  <c r="M10" i="2"/>
  <c r="K13" i="2"/>
  <c r="L13" i="2"/>
  <c r="M13" i="2"/>
  <c r="G2" i="2"/>
  <c r="H2" i="2"/>
  <c r="I2" i="2"/>
  <c r="J2" i="2"/>
  <c r="G3" i="2"/>
  <c r="H3" i="2"/>
  <c r="I3" i="2"/>
  <c r="J3" i="2"/>
  <c r="G5" i="2"/>
  <c r="H5" i="2"/>
  <c r="I5" i="2"/>
  <c r="J5" i="2"/>
  <c r="G6" i="2"/>
  <c r="H6" i="2"/>
  <c r="I6" i="2"/>
  <c r="J6" i="2"/>
  <c r="G7" i="2"/>
  <c r="H7" i="2"/>
  <c r="I7" i="2"/>
  <c r="J7" i="2"/>
  <c r="G8" i="2"/>
  <c r="H8" i="2"/>
  <c r="I8" i="2"/>
  <c r="J8" i="2"/>
  <c r="G9" i="2"/>
  <c r="H9" i="2"/>
  <c r="I9" i="2"/>
  <c r="J9" i="2"/>
  <c r="G10" i="2"/>
  <c r="H10" i="2"/>
  <c r="I10" i="2"/>
  <c r="J10" i="2"/>
  <c r="G13" i="2"/>
  <c r="H13" i="2"/>
  <c r="I13" i="2"/>
  <c r="J13" i="2"/>
  <c r="F2" i="2"/>
  <c r="F3" i="2"/>
  <c r="F5" i="2"/>
  <c r="F6" i="2"/>
  <c r="F7" i="2"/>
  <c r="F8" i="2"/>
  <c r="F9" i="2"/>
  <c r="F10" i="2"/>
  <c r="F13" i="2"/>
  <c r="B49" i="1" l="1"/>
  <c r="B20" i="1"/>
  <c r="A21" i="1"/>
  <c r="D21" i="3" l="1"/>
  <c r="A21" i="3"/>
  <c r="E21" i="1" s="1"/>
  <c r="C21" i="3"/>
  <c r="B21" i="3"/>
  <c r="D21" i="1" s="1"/>
  <c r="G21" i="1"/>
  <c r="C21" i="1"/>
  <c r="H20" i="1"/>
  <c r="A22" i="1"/>
  <c r="B21" i="1"/>
  <c r="D22" i="3" l="1"/>
  <c r="C22" i="3"/>
  <c r="B22" i="3"/>
  <c r="D22" i="1" s="1"/>
  <c r="A22" i="3"/>
  <c r="F21" i="1"/>
  <c r="Q21" i="1" s="1"/>
  <c r="G22" i="1"/>
  <c r="C22" i="1"/>
  <c r="B22" i="1"/>
  <c r="A23" i="1"/>
  <c r="D23" i="3" l="1"/>
  <c r="A23" i="3"/>
  <c r="C23" i="3"/>
  <c r="B23" i="3"/>
  <c r="E22" i="1"/>
  <c r="Q22" i="1" s="1"/>
  <c r="F22" i="1"/>
  <c r="G23" i="1"/>
  <c r="H21" i="1"/>
  <c r="C23" i="1"/>
  <c r="B23" i="1"/>
  <c r="A24" i="1"/>
  <c r="D23" i="1" l="1"/>
  <c r="D24" i="3"/>
  <c r="C24" i="3"/>
  <c r="A24" i="3"/>
  <c r="F24" i="1" s="1"/>
  <c r="B24" i="3"/>
  <c r="E23" i="1"/>
  <c r="G24" i="1"/>
  <c r="F23" i="1"/>
  <c r="H23" i="1" s="1"/>
  <c r="H22" i="1"/>
  <c r="C24" i="1"/>
  <c r="B24" i="1"/>
  <c r="A25" i="1"/>
  <c r="Q23" i="1" l="1"/>
  <c r="D25" i="3"/>
  <c r="C25" i="3"/>
  <c r="B25" i="3"/>
  <c r="A25" i="3"/>
  <c r="E25" i="1" s="1"/>
  <c r="E24" i="1"/>
  <c r="G25" i="1"/>
  <c r="D24" i="1"/>
  <c r="C25" i="1"/>
  <c r="B25" i="1"/>
  <c r="A26" i="1"/>
  <c r="H24" i="1" l="1"/>
  <c r="Q24" i="1"/>
  <c r="D26" i="3"/>
  <c r="A26" i="3"/>
  <c r="E26" i="1" s="1"/>
  <c r="C26" i="3"/>
  <c r="B26" i="3"/>
  <c r="D25" i="1"/>
  <c r="F25" i="1"/>
  <c r="G26" i="1"/>
  <c r="C26" i="1"/>
  <c r="B26" i="1"/>
  <c r="A27" i="1"/>
  <c r="Q25" i="1" l="1"/>
  <c r="D27" i="3"/>
  <c r="C27" i="3"/>
  <c r="A27" i="3"/>
  <c r="F27" i="1" s="1"/>
  <c r="B27" i="3"/>
  <c r="G27" i="1"/>
  <c r="F26" i="1"/>
  <c r="D26" i="1"/>
  <c r="H25" i="1"/>
  <c r="C27" i="1"/>
  <c r="E27" i="1"/>
  <c r="B27" i="1"/>
  <c r="A28" i="1"/>
  <c r="Q26" i="1" l="1"/>
  <c r="D28" i="3"/>
  <c r="A28" i="3"/>
  <c r="C28" i="3"/>
  <c r="B28" i="3"/>
  <c r="D27" i="1"/>
  <c r="Q27" i="1" s="1"/>
  <c r="G28" i="1"/>
  <c r="H26" i="1"/>
  <c r="H27" i="1"/>
  <c r="C28" i="1"/>
  <c r="B28" i="1"/>
  <c r="A29" i="1"/>
  <c r="E28" i="1" l="1"/>
  <c r="D28" i="1"/>
  <c r="D29" i="3"/>
  <c r="C29" i="3"/>
  <c r="B29" i="3"/>
  <c r="A29" i="3"/>
  <c r="F28" i="1"/>
  <c r="H28" i="1" s="1"/>
  <c r="G29" i="1"/>
  <c r="C29" i="1"/>
  <c r="B29" i="1"/>
  <c r="A30" i="1"/>
  <c r="D29" i="1" l="1"/>
  <c r="Q28" i="1"/>
  <c r="D30" i="3"/>
  <c r="A30" i="3"/>
  <c r="E30" i="1" s="1"/>
  <c r="C30" i="3"/>
  <c r="B30" i="3"/>
  <c r="F29" i="1"/>
  <c r="G30" i="1"/>
  <c r="E29" i="1"/>
  <c r="C30" i="1"/>
  <c r="B30" i="1"/>
  <c r="A31" i="1"/>
  <c r="Q29" i="1" l="1"/>
  <c r="D31" i="3"/>
  <c r="C31" i="3"/>
  <c r="A31" i="3"/>
  <c r="F31" i="1" s="1"/>
  <c r="B31" i="3"/>
  <c r="F30" i="1"/>
  <c r="G31" i="1"/>
  <c r="D30" i="1"/>
  <c r="Q30" i="1" s="1"/>
  <c r="H29" i="1"/>
  <c r="C31" i="1"/>
  <c r="B31" i="1"/>
  <c r="A32" i="1"/>
  <c r="D32" i="3" l="1"/>
  <c r="C32" i="3"/>
  <c r="B32" i="3"/>
  <c r="A32" i="3"/>
  <c r="F32" i="1" s="1"/>
  <c r="H30" i="1"/>
  <c r="E31" i="1"/>
  <c r="G32" i="1"/>
  <c r="D31" i="1"/>
  <c r="Q31" i="1" s="1"/>
  <c r="C32" i="1"/>
  <c r="B32" i="1"/>
  <c r="A33" i="1"/>
  <c r="D33" i="3" l="1"/>
  <c r="F33" i="1" s="1"/>
  <c r="A33" i="3"/>
  <c r="C33" i="3"/>
  <c r="B33" i="3"/>
  <c r="D33" i="1" s="1"/>
  <c r="E32" i="1"/>
  <c r="E33" i="1"/>
  <c r="G33" i="1"/>
  <c r="D32" i="1"/>
  <c r="H31" i="1"/>
  <c r="C33" i="1"/>
  <c r="B33" i="1"/>
  <c r="A34" i="1"/>
  <c r="Q33" i="1" l="1"/>
  <c r="H32" i="1"/>
  <c r="Q32" i="1"/>
  <c r="D34" i="3"/>
  <c r="C34" i="3"/>
  <c r="B34" i="3"/>
  <c r="A34" i="3"/>
  <c r="G34" i="1"/>
  <c r="H33" i="1"/>
  <c r="C34" i="1"/>
  <c r="D34" i="1"/>
  <c r="B34" i="1"/>
  <c r="E34" i="1" l="1"/>
  <c r="Q34" i="1" s="1"/>
  <c r="F34" i="1"/>
  <c r="H34" i="1" l="1"/>
  <c r="Q36" i="1"/>
  <c r="C49" i="1" s="1"/>
  <c r="B50" i="1" l="1"/>
  <c r="C50" i="1" s="1"/>
  <c r="B51" i="1" l="1"/>
  <c r="C51" i="1" s="1"/>
  <c r="B52" i="1" l="1"/>
  <c r="C52" i="1" l="1"/>
  <c r="B53" i="1" l="1"/>
  <c r="C53" i="1" s="1"/>
  <c r="B54" i="1" l="1"/>
  <c r="C54" i="1" s="1"/>
  <c r="B55" i="1" l="1"/>
  <c r="C55" i="1" s="1"/>
  <c r="A36" i="3" s="1"/>
  <c r="B58" i="1" l="1"/>
  <c r="C59" i="1" l="1"/>
  <c r="H49" i="1"/>
  <c r="C58" i="1" s="1"/>
  <c r="C60" i="1" l="1"/>
  <c r="C61" i="1" s="1"/>
  <c r="K52" i="1" s="1"/>
  <c r="B8" i="1" s="1"/>
  <c r="X52" i="1" l="1"/>
</calcChain>
</file>

<file path=xl/sharedStrings.xml><?xml version="1.0" encoding="utf-8"?>
<sst xmlns="http://schemas.openxmlformats.org/spreadsheetml/2006/main" count="117" uniqueCount="82">
  <si>
    <t>Project</t>
  </si>
  <si>
    <t>County</t>
  </si>
  <si>
    <t xml:space="preserve">Instructions: </t>
  </si>
  <si>
    <t>Descritpion</t>
  </si>
  <si>
    <t>Notice to Proceed:</t>
  </si>
  <si>
    <t>Time Charges Began:</t>
  </si>
  <si>
    <t>Contract Completion Date:</t>
  </si>
  <si>
    <t>Work Began:</t>
  </si>
  <si>
    <t>Time Charges Stopped:</t>
  </si>
  <si>
    <t>Project Weather Data</t>
  </si>
  <si>
    <t>Calculations</t>
  </si>
  <si>
    <t xml:space="preserve">Not including </t>
  </si>
  <si>
    <t>Weather Zone Chart Data</t>
  </si>
  <si>
    <t>holidays or weekends:</t>
  </si>
  <si>
    <t>Actual</t>
  </si>
  <si>
    <t>Calendar</t>
  </si>
  <si>
    <t>Weekend</t>
  </si>
  <si>
    <t>Rain</t>
  </si>
  <si>
    <t>Cold</t>
  </si>
  <si>
    <t>Wet</t>
  </si>
  <si>
    <t>Available</t>
  </si>
  <si>
    <t>Month</t>
  </si>
  <si>
    <t>Days</t>
  </si>
  <si>
    <t>Holidays</t>
  </si>
  <si>
    <t>Work Days</t>
  </si>
  <si>
    <t>ONLY EVALUATE</t>
  </si>
  <si>
    <t>THRU ORIGINAL</t>
  </si>
  <si>
    <t>COMPLETION DATE*</t>
  </si>
  <si>
    <t xml:space="preserve">if a positive number = </t>
  </si>
  <si>
    <t>work days owed</t>
  </si>
  <si>
    <t xml:space="preserve">*Unless engineering judgement </t>
  </si>
  <si>
    <t>owed work days</t>
  </si>
  <si>
    <t>suggests carrying thru to the</t>
  </si>
  <si>
    <t>available work days</t>
  </si>
  <si>
    <t>Revised completion date.</t>
  </si>
  <si>
    <t>calendar days</t>
  </si>
  <si>
    <t>owed calendar days</t>
  </si>
  <si>
    <t>New Contract Completion Date</t>
  </si>
  <si>
    <t>New Year Day</t>
  </si>
  <si>
    <t>C2</t>
  </si>
  <si>
    <t>Martin Luther King Jr. Day</t>
  </si>
  <si>
    <t>C3</t>
  </si>
  <si>
    <t>C4</t>
  </si>
  <si>
    <t>Memorial Day</t>
  </si>
  <si>
    <t>C5</t>
  </si>
  <si>
    <t>Independence Day</t>
  </si>
  <si>
    <t>C6</t>
  </si>
  <si>
    <t>Labor Day</t>
  </si>
  <si>
    <t>C7</t>
  </si>
  <si>
    <t>Columbus Day</t>
  </si>
  <si>
    <t>C8</t>
  </si>
  <si>
    <t>Veterans Day</t>
  </si>
  <si>
    <t>C9</t>
  </si>
  <si>
    <t>Thanksgiving Day</t>
  </si>
  <si>
    <t>C10</t>
  </si>
  <si>
    <t>Christmas Day</t>
  </si>
  <si>
    <t>C11</t>
  </si>
  <si>
    <t>Zone 3 - Roadway</t>
  </si>
  <si>
    <t>C12</t>
  </si>
  <si>
    <t>State Holiday</t>
  </si>
  <si>
    <t>C13</t>
  </si>
  <si>
    <t>Christmas Eve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</si>
  <si>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</si>
  <si>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</si>
  <si>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</si>
  <si>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</si>
  <si>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</si>
  <si>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</si>
  <si>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</si>
  <si>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</si>
  <si>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</si>
  <si>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</si>
  <si>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</si>
  <si>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</si>
  <si>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=========</t>
  </si>
  <si>
    <t>1.Enter Date for Time Charges Began</t>
  </si>
  <si>
    <r>
      <t xml:space="preserve">2.Enter Date for Contract Completion Date </t>
    </r>
    <r>
      <rPr>
        <b/>
        <sz val="11"/>
        <color rgb="FFFF0000"/>
        <rFont val="Calibri"/>
        <family val="2"/>
        <scheme val="minor"/>
      </rPr>
      <t>(Never change this)</t>
    </r>
    <r>
      <rPr>
        <sz val="11"/>
        <color theme="1"/>
        <rFont val="Calibri"/>
        <family val="2"/>
        <scheme val="minor"/>
      </rPr>
      <t xml:space="preserve"> The new contract completion date will be figured in blue.</t>
    </r>
  </si>
  <si>
    <t>3.Data in Yellow should be all zeros when starting project. Update at the end of each month.</t>
  </si>
  <si>
    <r>
      <t xml:space="preserve">4.Data in </t>
    </r>
    <r>
      <rPr>
        <b/>
        <i/>
        <sz val="11"/>
        <color theme="1"/>
        <rFont val="Calibri"/>
        <family val="2"/>
        <scheme val="minor"/>
      </rPr>
      <t>green</t>
    </r>
    <r>
      <rPr>
        <sz val="11"/>
        <color theme="1"/>
        <rFont val="Calibri"/>
        <family val="2"/>
        <scheme val="minor"/>
      </rPr>
      <t xml:space="preserve"> will populate automatically.</t>
    </r>
  </si>
  <si>
    <t>If less months are needed, add numbers in yellow table to make numbers in green table equal 0</t>
  </si>
  <si>
    <t>Extra Days for Supplemental Agreements</t>
  </si>
  <si>
    <t>Actual weather days minus inclimate weather days  as shown on the weather zone chart plus Extra days for Supplemental Agreements.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</si>
</sst>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mm/dd/yy;@"/>
    <numFmt numFmtId="165" formatCode="0_);[Red]\(0\)"/>
    <numFmt numFmtId="166" formatCode="0.0_);[Red]\(0.0\)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333333"/>
      <name val="Calibri"/>
      <family val="2"/>
      <scheme val="minor"/>
    </font>
    <font>
      <sz val="12"/>
      <color rgb="FF0A0101"/>
      <name val="Arial"/>
      <family val="2"/>
    </font>
    <font>
      <b/>
      <sz val="11"/>
      <color rgb="FFFF0000"/>
      <name val="Calibri"/>
      <family val="2"/>
      <scheme val="minor"/>
    </font>
    <font>
      <sz val="10"/>
      <color rgb="FF333333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Border="1" applyAlignment="1">
      <alignment horizontal="left"/>
    </xf>
    <xf numFmtId="0" fontId="0" fillId="2" borderId="9" xfId="0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1" fillId="3" borderId="9" xfId="0" applyFont="1" applyFill="1" applyBorder="1" applyAlignment="1">
      <alignment horizontal="right"/>
    </xf>
    <xf numFmtId="0" fontId="1" fillId="3" borderId="11" xfId="0" applyFont="1" applyFill="1" applyBorder="1" applyAlignment="1">
      <alignment horizontal="left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4" fillId="0" borderId="0" xfId="0" applyFont="1" applyAlignment="1">
      <alignment horizontal="left"/>
    </xf>
    <xf numFmtId="0" fontId="0" fillId="3" borderId="5" xfId="0" quotePrefix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  <xf numFmtId="0" fontId="6" fillId="5" borderId="13" xfId="0" applyFont="1" applyFill="1" applyBorder="1" applyAlignment="1">
      <alignment vertical="center" wrapText="1"/>
    </xf>
    <xf numFmtId="0" fontId="6" fillId="5" borderId="13" xfId="0" applyFont="1" applyFill="1" applyBorder="1" applyAlignment="1">
      <alignment horizontal="center" vertical="center" wrapText="1"/>
    </xf>
    <xf numFmtId="14" fontId="6" fillId="5" borderId="13" xfId="0" applyNumberFormat="1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center"/>
    </xf>
    <xf numFmtId="0" fontId="1" fillId="6" borderId="1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14" fontId="0" fillId="0" borderId="0" xfId="0" applyNumberFormat="1" applyAlignment="1">
      <alignment horizontal="center"/>
    </xf>
    <xf numFmtId="14" fontId="0" fillId="4" borderId="4" xfId="0" applyNumberFormat="1" applyFill="1" applyBorder="1" applyAlignment="1">
      <alignment horizontal="center"/>
    </xf>
    <xf numFmtId="2" fontId="0" fillId="0" borderId="0" xfId="0" applyNumberFormat="1"/>
    <xf numFmtId="1" fontId="0" fillId="0" borderId="0" xfId="0" applyNumberFormat="1"/>
    <xf numFmtId="0" fontId="0" fillId="4" borderId="6" xfId="0" applyFill="1" applyBorder="1" applyAlignment="1">
      <alignment horizontal="center"/>
    </xf>
    <xf numFmtId="1" fontId="0" fillId="4" borderId="0" xfId="0" applyNumberFormat="1" applyFill="1" applyBorder="1" applyAlignment="1">
      <alignment horizontal="center"/>
    </xf>
    <xf numFmtId="0" fontId="0" fillId="0" borderId="0" xfId="0" applyFill="1"/>
    <xf numFmtId="0" fontId="0" fillId="4" borderId="0" xfId="0" applyFill="1"/>
    <xf numFmtId="14" fontId="0" fillId="4" borderId="0" xfId="0" applyNumberFormat="1" applyFill="1"/>
    <xf numFmtId="1" fontId="0" fillId="4" borderId="0" xfId="0" applyNumberFormat="1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1" fillId="3" borderId="4" xfId="0" quotePrefix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4" borderId="5" xfId="0" applyFont="1" applyFill="1" applyBorder="1" applyAlignment="1">
      <alignment horizontal="center"/>
    </xf>
    <xf numFmtId="14" fontId="0" fillId="4" borderId="6" xfId="0" applyNumberForma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0" borderId="5" xfId="0" applyBorder="1" applyAlignment="1">
      <alignment horizontal="left"/>
    </xf>
    <xf numFmtId="14" fontId="1" fillId="0" borderId="0" xfId="0" applyNumberFormat="1" applyFont="1" applyFill="1" applyBorder="1" applyAlignment="1"/>
    <xf numFmtId="0" fontId="1" fillId="0" borderId="0" xfId="0" applyFont="1" applyFill="1" applyBorder="1" applyAlignment="1">
      <alignment horizontal="left"/>
    </xf>
    <xf numFmtId="0" fontId="1" fillId="7" borderId="9" xfId="0" applyFont="1" applyFill="1" applyBorder="1" applyAlignment="1">
      <alignment horizontal="left"/>
    </xf>
    <xf numFmtId="14" fontId="1" fillId="7" borderId="12" xfId="0" applyNumberFormat="1" applyFont="1" applyFill="1" applyBorder="1" applyAlignment="1">
      <alignment horizontal="center"/>
    </xf>
    <xf numFmtId="14" fontId="0" fillId="8" borderId="0" xfId="0" applyNumberFormat="1" applyFill="1" applyAlignment="1">
      <alignment horizontal="center"/>
    </xf>
    <xf numFmtId="165" fontId="0" fillId="8" borderId="0" xfId="0" applyNumberFormat="1" applyFill="1" applyAlignment="1">
      <alignment horizontal="center"/>
    </xf>
    <xf numFmtId="0" fontId="0" fillId="8" borderId="0" xfId="0" applyFill="1" applyAlignment="1">
      <alignment horizontal="center"/>
    </xf>
    <xf numFmtId="14" fontId="5" fillId="8" borderId="0" xfId="0" applyNumberFormat="1" applyFont="1" applyFill="1" applyAlignment="1">
      <alignment horizontal="center"/>
    </xf>
    <xf numFmtId="1" fontId="5" fillId="8" borderId="0" xfId="0" applyNumberFormat="1" applyFont="1" applyFill="1" applyAlignment="1">
      <alignment horizontal="center"/>
    </xf>
    <xf numFmtId="14" fontId="5" fillId="9" borderId="0" xfId="0" applyNumberFormat="1" applyFont="1" applyFill="1" applyAlignment="1">
      <alignment horizontal="center"/>
    </xf>
    <xf numFmtId="165" fontId="0" fillId="9" borderId="0" xfId="0" quotePrefix="1" applyNumberFormat="1" applyFill="1" applyAlignment="1">
      <alignment horizontal="center"/>
    </xf>
    <xf numFmtId="0" fontId="0" fillId="9" borderId="0" xfId="0" applyFill="1" applyAlignment="1">
      <alignment horizontal="center"/>
    </xf>
    <xf numFmtId="0" fontId="5" fillId="9" borderId="0" xfId="0" applyFont="1" applyFill="1" applyAlignment="1">
      <alignment horizontal="center"/>
    </xf>
    <xf numFmtId="166" fontId="0" fillId="9" borderId="0" xfId="0" quotePrefix="1" applyNumberFormat="1" applyFill="1" applyAlignment="1">
      <alignment horizontal="center"/>
    </xf>
    <xf numFmtId="165" fontId="0" fillId="8" borderId="0" xfId="0" quotePrefix="1" applyNumberFormat="1" applyFill="1" applyAlignment="1">
      <alignment horizontal="center"/>
    </xf>
    <xf numFmtId="0" fontId="0" fillId="8" borderId="0" xfId="0" applyFill="1" applyAlignment="1">
      <alignment horizontal="left"/>
    </xf>
    <xf numFmtId="0" fontId="0" fillId="0" borderId="0" xfId="0" applyNumberFormat="1"/>
    <xf numFmtId="0" fontId="8" fillId="0" borderId="0" xfId="0" applyFont="1"/>
    <xf numFmtId="0" fontId="8" fillId="4" borderId="0" xfId="0" applyFont="1" applyFill="1" applyAlignment="1">
      <alignment horizontal="center"/>
    </xf>
    <xf numFmtId="0" fontId="8" fillId="4" borderId="7" xfId="0" applyFont="1" applyFill="1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14" fontId="1" fillId="0" borderId="0" xfId="0" applyNumberFormat="1" applyFont="1" applyFill="1" applyBorder="1" applyAlignment="1">
      <alignment horizontal="left"/>
    </xf>
    <xf numFmtId="0" fontId="1" fillId="3" borderId="1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left" vertical="center" wrapText="1"/>
    </xf>
    <xf numFmtId="0" fontId="1" fillId="3" borderId="4" xfId="0" applyFont="1" applyFill="1" applyBorder="1" applyAlignment="1">
      <alignment horizontal="left" vertical="center" wrapText="1"/>
    </xf>
    <xf numFmtId="0" fontId="1" fillId="3" borderId="5" xfId="0" applyFont="1" applyFill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14" fontId="1" fillId="3" borderId="9" xfId="0" applyNumberFormat="1" applyFont="1" applyFill="1" applyBorder="1" applyAlignment="1">
      <alignment horizontal="left"/>
    </xf>
    <xf numFmtId="14" fontId="1" fillId="3" borderId="11" xfId="0" applyNumberFormat="1" applyFont="1" applyFill="1" applyBorder="1" applyAlignment="1">
      <alignment horizontal="left"/>
    </xf>
    <xf numFmtId="0" fontId="0" fillId="8" borderId="0" xfId="0" applyFill="1" applyAlignment="1">
      <alignment horizontal="center"/>
    </xf>
    <xf numFmtId="0" fontId="0" fillId="8" borderId="0" xfId="0" applyFill="1" applyAlignment="1">
      <alignment horizontal="left"/>
    </xf>
    <xf numFmtId="0" fontId="0" fillId="9" borderId="0" xfId="0" applyFill="1" applyAlignment="1">
      <alignment horizontal="left"/>
    </xf>
    <xf numFmtId="0" fontId="1" fillId="6" borderId="14" xfId="0" applyFont="1" applyFill="1" applyBorder="1" applyAlignment="1">
      <alignment horizontal="center" vertical="center"/>
    </xf>
    <xf numFmtId="0" fontId="0" fillId="6" borderId="15" xfId="0" applyFill="1" applyBorder="1" applyAlignment="1">
      <alignment horizontal="center"/>
    </xf>
    <xf numFmtId="0" fontId="0" fillId="6" borderId="16" xfId="0" applyFill="1" applyBorder="1" applyAlignment="1">
      <alignment horizontal="center"/>
    </xf>
    <xf numFmtId="0" fontId="0" fillId="6" borderId="17" xfId="0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4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1" fillId="10" borderId="1" xfId="0" applyFont="1" applyFill="1" applyBorder="1" applyAlignment="1">
      <alignment horizontal="center" wrapText="1"/>
    </xf>
    <xf numFmtId="0" fontId="1" fillId="10" borderId="3" xfId="0" applyFont="1" applyFill="1" applyBorder="1" applyAlignment="1">
      <alignment horizontal="center" wrapText="1"/>
    </xf>
    <xf numFmtId="0" fontId="1" fillId="10" borderId="6" xfId="0" applyFont="1" applyFill="1" applyBorder="1" applyAlignment="1">
      <alignment horizontal="center" wrapText="1"/>
    </xf>
    <xf numFmtId="0" fontId="1" fillId="10" borderId="8" xfId="0" applyFont="1" applyFill="1" applyBorder="1" applyAlignment="1">
      <alignment horizontal="center" wrapText="1"/>
    </xf>
    <xf numFmtId="0" fontId="0" fillId="10" borderId="4" xfId="0" applyFill="1" applyBorder="1" applyAlignment="1">
      <alignment horizontal="center"/>
    </xf>
    <xf numFmtId="0" fontId="0" fillId="10" borderId="5" xfId="0" applyFill="1" applyBorder="1" applyAlignment="1">
      <alignment horizontal="center"/>
    </xf>
    <xf numFmtId="0" fontId="1" fillId="10" borderId="4" xfId="0" applyFont="1" applyFill="1" applyBorder="1" applyAlignment="1">
      <alignment horizontal="center"/>
    </xf>
    <xf numFmtId="0" fontId="1" fillId="10" borderId="5" xfId="0" applyFont="1" applyFill="1" applyBorder="1" applyAlignment="1">
      <alignment horizontal="center"/>
    </xf>
    <xf numFmtId="0" fontId="2" fillId="10" borderId="4" xfId="0" applyFont="1" applyFill="1" applyBorder="1" applyAlignment="1">
      <alignment horizontal="center"/>
    </xf>
    <xf numFmtId="0" fontId="2" fillId="10" borderId="5" xfId="0" applyFont="1" applyFill="1" applyBorder="1" applyAlignment="1">
      <alignment horizontal="center"/>
    </xf>
    <xf numFmtId="1" fontId="0" fillId="10" borderId="1" xfId="0" applyNumberFormat="1" applyFill="1" applyBorder="1" applyAlignment="1">
      <alignment horizontal="center"/>
    </xf>
    <xf numFmtId="1" fontId="0" fillId="10" borderId="3" xfId="0" applyNumberFormat="1" applyFill="1" applyBorder="1" applyAlignment="1">
      <alignment horizontal="center"/>
    </xf>
    <xf numFmtId="1" fontId="0" fillId="10" borderId="4" xfId="0" applyNumberFormat="1" applyFill="1" applyBorder="1" applyAlignment="1">
      <alignment horizontal="center"/>
    </xf>
    <xf numFmtId="1" fontId="0" fillId="10" borderId="5" xfId="0" applyNumberFormat="1" applyFill="1" applyBorder="1" applyAlignment="1">
      <alignment horizontal="center"/>
    </xf>
    <xf numFmtId="1" fontId="0" fillId="10" borderId="6" xfId="0" applyNumberFormat="1" applyFill="1" applyBorder="1" applyAlignment="1">
      <alignment horizontal="center"/>
    </xf>
    <xf numFmtId="1" fontId="0" fillId="10" borderId="8" xfId="0" applyNumberFormat="1" applyFill="1" applyBorder="1" applyAlignment="1">
      <alignment horizontal="center"/>
    </xf>
    <xf numFmtId="0" fontId="1" fillId="10" borderId="4" xfId="0" applyFont="1" applyFill="1" applyBorder="1" applyAlignment="1">
      <alignment horizontal="center" wrapText="1"/>
    </xf>
    <xf numFmtId="0" fontId="1" fillId="10" borderId="5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Y61"/>
  <sheetViews>
    <sheetView tabSelected="1" topLeftCell="A7" zoomScale="130" zoomScaleNormal="130" workbookViewId="0">
      <selection activeCell="G9" sqref="G9"/>
    </sheetView>
  </sheetViews>
  <sheetFormatPr defaultColWidth="8.85546875" defaultRowHeight="15" x14ac:dyDescent="0.25"/>
  <cols>
    <col min="1" max="1" width="29.42578125" style="1" customWidth="1"/>
    <col min="2" max="2" width="12.7109375" style="1" bestFit="1" customWidth="1"/>
    <col min="3" max="3" width="10.85546875" style="1" bestFit="1" customWidth="1"/>
    <col min="4" max="4" width="5.5703125" style="1" bestFit="1" customWidth="1"/>
    <col min="5" max="5" width="7.7109375" style="1" bestFit="1" customWidth="1"/>
    <col min="6" max="6" width="8.7109375" style="1" customWidth="1"/>
    <col min="7" max="7" width="7.85546875" style="1" bestFit="1" customWidth="1"/>
    <col min="8" max="8" width="11.28515625" style="1" customWidth="1"/>
    <col min="9" max="10" width="8.85546875" style="1"/>
    <col min="11" max="11" width="11.85546875" style="1" customWidth="1"/>
    <col min="12" max="12" width="8.85546875" style="1"/>
    <col min="13" max="13" width="4.5703125" style="73" customWidth="1"/>
    <col min="14" max="15" width="8.85546875" style="73"/>
    <col min="16" max="16" width="4.85546875" style="1" customWidth="1"/>
    <col min="17" max="17" width="13.42578125" style="1" bestFit="1" customWidth="1"/>
    <col min="18" max="18" width="20.42578125" style="1" customWidth="1"/>
    <col min="19" max="19" width="2" style="1" customWidth="1"/>
    <col min="20" max="20" width="6.5703125" style="1" customWidth="1"/>
    <col min="21" max="23" width="8.85546875" style="1"/>
    <col min="24" max="25" width="8.85546875" style="49"/>
    <col min="26" max="16384" width="8.85546875" style="1"/>
  </cols>
  <sheetData>
    <row r="1" spans="1:25" x14ac:dyDescent="0.25">
      <c r="A1" s="57" t="s">
        <v>0</v>
      </c>
      <c r="B1" s="125"/>
      <c r="C1" s="125"/>
      <c r="D1" s="125"/>
      <c r="E1" s="125"/>
      <c r="J1" s="2" t="s">
        <v>2</v>
      </c>
      <c r="K1" s="3"/>
      <c r="L1" s="3"/>
      <c r="M1" s="3"/>
      <c r="N1" s="3"/>
      <c r="O1" s="3"/>
      <c r="P1" s="3"/>
      <c r="Q1" s="3"/>
      <c r="R1" s="4"/>
    </row>
    <row r="2" spans="1:25" x14ac:dyDescent="0.25">
      <c r="A2" s="57" t="s">
        <v>1</v>
      </c>
      <c r="B2" s="122"/>
      <c r="C2" s="123"/>
      <c r="D2" s="123"/>
      <c r="E2" s="124"/>
      <c r="J2" s="126" t="s">
        <v>75</v>
      </c>
      <c r="K2" s="127"/>
      <c r="L2" s="127"/>
      <c r="M2" s="127"/>
      <c r="N2" s="127"/>
      <c r="O2" s="127"/>
      <c r="P2" s="127"/>
      <c r="Q2" s="127"/>
      <c r="R2" s="128"/>
    </row>
    <row r="3" spans="1:25" ht="15" customHeight="1" x14ac:dyDescent="0.25">
      <c r="A3" s="121" t="s">
        <v>3</v>
      </c>
      <c r="B3" s="125"/>
      <c r="C3" s="125"/>
      <c r="D3" s="125"/>
      <c r="E3" s="125"/>
      <c r="J3" s="129" t="s">
        <v>76</v>
      </c>
      <c r="K3" s="130"/>
      <c r="L3" s="130"/>
      <c r="M3" s="130"/>
      <c r="N3" s="130"/>
      <c r="O3" s="130"/>
      <c r="P3" s="130"/>
      <c r="Q3" s="130"/>
      <c r="R3" s="131"/>
    </row>
    <row r="4" spans="1:25" x14ac:dyDescent="0.25">
      <c r="A4" s="121"/>
      <c r="B4" s="125"/>
      <c r="C4" s="125"/>
      <c r="D4" s="125"/>
      <c r="E4" s="125"/>
      <c r="J4" s="129"/>
      <c r="K4" s="130"/>
      <c r="L4" s="130"/>
      <c r="M4" s="130"/>
      <c r="N4" s="130"/>
      <c r="O4" s="130"/>
      <c r="P4" s="130"/>
      <c r="Q4" s="130"/>
      <c r="R4" s="131"/>
    </row>
    <row r="5" spans="1:25" ht="15" customHeight="1" x14ac:dyDescent="0.25">
      <c r="A5" s="1" t="s">
        <v>4</v>
      </c>
      <c r="B5" s="8">
        <v>43617</v>
      </c>
      <c r="J5" s="113" t="s">
        <v>77</v>
      </c>
      <c r="K5" s="114"/>
      <c r="L5" s="114"/>
      <c r="M5" s="114"/>
      <c r="N5" s="114"/>
      <c r="O5" s="114"/>
      <c r="P5" s="114"/>
      <c r="Q5" s="114"/>
      <c r="R5" s="115"/>
    </row>
    <row r="6" spans="1:25" x14ac:dyDescent="0.25">
      <c r="A6" s="1" t="s">
        <v>5</v>
      </c>
      <c r="B6" s="8">
        <v>43628</v>
      </c>
      <c r="J6" s="113"/>
      <c r="K6" s="114"/>
      <c r="L6" s="114"/>
      <c r="M6" s="114"/>
      <c r="N6" s="114"/>
      <c r="O6" s="114"/>
      <c r="P6" s="114"/>
      <c r="Q6" s="114"/>
      <c r="R6" s="115"/>
    </row>
    <row r="7" spans="1:25" ht="15.75" thickBot="1" x14ac:dyDescent="0.3">
      <c r="A7" s="1" t="s">
        <v>6</v>
      </c>
      <c r="B7" s="8">
        <v>43799</v>
      </c>
      <c r="J7" s="5" t="s">
        <v>78</v>
      </c>
      <c r="K7" s="9"/>
      <c r="L7" s="9"/>
      <c r="M7" s="100"/>
      <c r="N7" s="100"/>
      <c r="O7" s="100"/>
      <c r="P7" s="9"/>
      <c r="Q7" s="9"/>
      <c r="R7" s="79"/>
    </row>
    <row r="8" spans="1:25" ht="15" customHeight="1" thickBot="1" x14ac:dyDescent="0.3">
      <c r="A8" s="82" t="s">
        <v>37</v>
      </c>
      <c r="B8" s="83">
        <f>WORKDAY(K52-1,1,Holidays!$E$2:$R$13)</f>
        <v>43858</v>
      </c>
      <c r="C8" s="81"/>
      <c r="E8" s="54"/>
      <c r="F8" s="54"/>
      <c r="G8" s="54"/>
      <c r="H8" s="54"/>
      <c r="I8" s="54"/>
      <c r="J8" s="5"/>
      <c r="K8" s="6"/>
      <c r="L8" s="6"/>
      <c r="M8" s="6"/>
      <c r="N8" s="6"/>
      <c r="O8" s="6"/>
      <c r="P8" s="6"/>
      <c r="Q8" s="6"/>
      <c r="R8" s="7"/>
    </row>
    <row r="9" spans="1:25" s="54" customFormat="1" ht="17.25" customHeight="1" x14ac:dyDescent="0.25">
      <c r="A9" s="1"/>
      <c r="C9" s="1"/>
      <c r="D9" s="1"/>
      <c r="E9" s="1"/>
      <c r="F9" s="1"/>
      <c r="G9" s="1"/>
      <c r="H9" s="1"/>
      <c r="I9" s="1"/>
      <c r="J9" s="113" t="s">
        <v>79</v>
      </c>
      <c r="K9" s="114"/>
      <c r="L9" s="114"/>
      <c r="M9" s="114"/>
      <c r="N9" s="114"/>
      <c r="O9" s="114"/>
      <c r="P9" s="114"/>
      <c r="Q9" s="114"/>
      <c r="R9" s="115"/>
      <c r="X9" s="55"/>
      <c r="Y9" s="55"/>
    </row>
    <row r="10" spans="1:25" ht="15" customHeight="1" thickBot="1" x14ac:dyDescent="0.3">
      <c r="A10" s="54"/>
      <c r="B10" s="8"/>
      <c r="C10" s="54"/>
      <c r="D10" s="54"/>
      <c r="E10" s="54"/>
      <c r="F10" s="54"/>
      <c r="G10" s="54"/>
      <c r="H10" s="54"/>
      <c r="I10" s="54"/>
      <c r="J10" s="105"/>
      <c r="K10" s="106"/>
      <c r="L10" s="106"/>
      <c r="M10" s="106"/>
      <c r="N10" s="106"/>
      <c r="O10" s="106"/>
      <c r="P10" s="106"/>
      <c r="Q10" s="106"/>
      <c r="R10" s="107"/>
    </row>
    <row r="11" spans="1:25" ht="15.75" thickBot="1" x14ac:dyDescent="0.3">
      <c r="A11" s="1" t="s">
        <v>7</v>
      </c>
      <c r="B11" s="8"/>
    </row>
    <row r="12" spans="1:25" ht="15.75" customHeight="1" thickBot="1" x14ac:dyDescent="0.3">
      <c r="A12" s="1" t="s">
        <v>8</v>
      </c>
      <c r="B12" s="8"/>
      <c r="J12" s="10"/>
      <c r="K12" s="11" t="s">
        <v>9</v>
      </c>
      <c r="L12" s="12"/>
      <c r="M12" s="101"/>
      <c r="N12" s="132" t="s">
        <v>80</v>
      </c>
      <c r="O12" s="133"/>
      <c r="Q12" s="13" t="s">
        <v>10</v>
      </c>
      <c r="R12" s="14"/>
    </row>
    <row r="13" spans="1:25" ht="15" customHeight="1" thickBot="1" x14ac:dyDescent="0.3">
      <c r="B13" s="8"/>
      <c r="J13" s="15"/>
      <c r="K13" s="16" t="s">
        <v>11</v>
      </c>
      <c r="L13" s="17"/>
      <c r="M13" s="101"/>
      <c r="N13" s="148"/>
      <c r="O13" s="149"/>
      <c r="Q13" s="109" t="s">
        <v>81</v>
      </c>
      <c r="R13" s="110"/>
    </row>
    <row r="14" spans="1:25" ht="15.75" thickBot="1" x14ac:dyDescent="0.3">
      <c r="A14" s="18" t="s">
        <v>12</v>
      </c>
      <c r="B14" s="8"/>
      <c r="J14" s="19"/>
      <c r="K14" s="20" t="s">
        <v>13</v>
      </c>
      <c r="L14" s="21"/>
      <c r="M14" s="101"/>
      <c r="N14" s="134"/>
      <c r="O14" s="135"/>
      <c r="Q14" s="111"/>
      <c r="R14" s="112"/>
    </row>
    <row r="15" spans="1:25" ht="15.75" customHeight="1" x14ac:dyDescent="0.25">
      <c r="A15" s="23" t="s">
        <v>57</v>
      </c>
      <c r="B15" s="24"/>
      <c r="C15" s="24"/>
      <c r="D15" s="24"/>
      <c r="E15" s="24"/>
      <c r="F15" s="24"/>
      <c r="G15" s="24"/>
      <c r="H15" s="25"/>
      <c r="J15" s="26" t="s">
        <v>14</v>
      </c>
      <c r="K15" s="27" t="s">
        <v>14</v>
      </c>
      <c r="L15" s="28" t="s">
        <v>14</v>
      </c>
      <c r="M15" s="102"/>
      <c r="N15" s="138"/>
      <c r="O15" s="139"/>
      <c r="Q15" s="111"/>
      <c r="R15" s="112"/>
    </row>
    <row r="16" spans="1:25" ht="15.75" customHeight="1" x14ac:dyDescent="0.25">
      <c r="A16" s="29"/>
      <c r="B16" s="30" t="s">
        <v>15</v>
      </c>
      <c r="C16" s="30" t="s">
        <v>16</v>
      </c>
      <c r="D16" s="30" t="s">
        <v>17</v>
      </c>
      <c r="E16" s="30" t="s">
        <v>18</v>
      </c>
      <c r="F16" s="30" t="s">
        <v>19</v>
      </c>
      <c r="G16" s="30"/>
      <c r="H16" s="31" t="s">
        <v>20</v>
      </c>
      <c r="J16" s="26" t="s">
        <v>17</v>
      </c>
      <c r="K16" s="27" t="s">
        <v>18</v>
      </c>
      <c r="L16" s="28" t="s">
        <v>19</v>
      </c>
      <c r="M16" s="102"/>
      <c r="N16" s="138"/>
      <c r="O16" s="139"/>
      <c r="Q16" s="111"/>
      <c r="R16" s="112"/>
    </row>
    <row r="17" spans="1:18" x14ac:dyDescent="0.25">
      <c r="A17" s="32" t="s">
        <v>21</v>
      </c>
      <c r="B17" s="33" t="s">
        <v>22</v>
      </c>
      <c r="C17" s="33" t="s">
        <v>22</v>
      </c>
      <c r="D17" s="33" t="s">
        <v>22</v>
      </c>
      <c r="E17" s="33" t="s">
        <v>22</v>
      </c>
      <c r="F17" s="33" t="s">
        <v>22</v>
      </c>
      <c r="G17" s="33" t="s">
        <v>23</v>
      </c>
      <c r="H17" s="34" t="s">
        <v>24</v>
      </c>
      <c r="J17" s="35" t="s">
        <v>22</v>
      </c>
      <c r="K17" s="36" t="s">
        <v>22</v>
      </c>
      <c r="L17" s="37" t="s">
        <v>22</v>
      </c>
      <c r="M17" s="103"/>
      <c r="N17" s="140"/>
      <c r="O17" s="141"/>
      <c r="Q17" s="38" t="s">
        <v>22</v>
      </c>
      <c r="R17" s="22"/>
    </row>
    <row r="18" spans="1:18" ht="15.75" thickBot="1" x14ac:dyDescent="0.3">
      <c r="A18" s="65"/>
      <c r="B18" s="46"/>
      <c r="C18" s="46"/>
      <c r="D18" s="46"/>
      <c r="E18" s="46"/>
      <c r="F18" s="46"/>
      <c r="G18" s="46"/>
      <c r="H18" s="47"/>
      <c r="J18" s="77"/>
      <c r="K18" s="78"/>
      <c r="L18" s="104"/>
      <c r="M18" s="101"/>
      <c r="N18" s="136"/>
      <c r="O18" s="137"/>
      <c r="Q18" s="44"/>
      <c r="R18" s="45"/>
    </row>
    <row r="19" spans="1:18" x14ac:dyDescent="0.25">
      <c r="A19" s="62">
        <f>IF(ISBLANK(B6),"",B6)</f>
        <v>43628</v>
      </c>
      <c r="B19" s="66">
        <f>IF(LEN(A19)=0,"",EOMONTH(A19,0)-A19)</f>
        <v>18</v>
      </c>
      <c r="C19" s="39">
        <f t="shared" ref="C19:C34" si="0">IF(LEN(A19)=0,"",(EOMONTH(A19,0)-A19)-NETWORKDAYS(A19,EOMONTH(A19,0)))+1</f>
        <v>6</v>
      </c>
      <c r="D19" s="98">
        <f>IF(LEN($A19)=0,"",IFERROR(IF(DAY($A19)&lt;=('DO NOT TOUCH'!$A19/ABS('DO NOT TOUCH'!B19)),'DO NOT TOUCH'!B19,IF(DAY($A19)&lt;=('DO NOT TOUCH'!$A19/ABS('DO NOT TOUCH'!B19)*2),MIN(ABS('DO NOT TOUCH'!B19)-1,'DO NOT TOUCH'!B19+1),IF(DAY($A19)&lt;=('DO NOT TOUCH'!$A19/ABS('DO NOT TOUCH'!B19)*3),MIN(ABS('DO NOT TOUCH'!B19)-2,'DO NOT TOUCH'!B19+2),MIN('DO NOT TOUCH'!B19-3,'DO NOT TOUCH'!B19+3)))),0))</f>
        <v>2</v>
      </c>
      <c r="E19" s="39">
        <f>IF(LEN($A19)=0,"",IFERROR(IF(DAY($A19)&lt;=('DO NOT TOUCH'!$A19/ABS('DO NOT TOUCH'!C19)),'DO NOT TOUCH'!C19,IF(DAY($A19)&lt;=('DO NOT TOUCH'!$A19/ABS('DO NOT TOUCH'!C19)*2),MIN(ABS('DO NOT TOUCH'!C19)-1,'DO NOT TOUCH'!C19+1),IF(DAY($A19)&lt;=('DO NOT TOUCH'!$A19/ABS('DO NOT TOUCH'!C19)*3),MIN(ABS('DO NOT TOUCH'!C19)-2,'DO NOT TOUCH'!C19+2),MIN('DO NOT TOUCH'!C19-3,'DO NOT TOUCH'!C19+3)))),0))</f>
        <v>0</v>
      </c>
      <c r="F19" s="39">
        <f>IF(LEN($A19)=0,"",IFERROR(IF(DAY($A19)&lt;=('DO NOT TOUCH'!$A19/ABS('DO NOT TOUCH'!D19)),'DO NOT TOUCH'!D19,IF(DAY($A19)&lt;=('DO NOT TOUCH'!$A19/ABS('DO NOT TOUCH'!D19)*2),MIN(ABS('DO NOT TOUCH'!D19)-1,'DO NOT TOUCH'!D19+1),IF(DAY($A19)&lt;=('DO NOT TOUCH'!$A19/ABS('DO NOT TOUCH'!D19)*3),MIN(ABS('DO NOT TOUCH'!D19)-2,'DO NOT TOUCH'!D19+2),MIN('DO NOT TOUCH'!D19-3,'DO NOT TOUCH'!D19+3)))),0))</f>
        <v>-1</v>
      </c>
      <c r="G19" s="39">
        <f>IF(LEN(A19)=0,"",SUMPRODUCT((YEAR(Holidays!$E$2:$R$13)=YEAR(A19))*(MONTH(Holidays!$E$2:$R$13)=MONTH(A19))*(Holidays!$E$2:$R$13&gt;=A19)))</f>
        <v>0</v>
      </c>
      <c r="H19" s="40">
        <f>IF(LEN(A19)=0,"",MAX(0,B19-C19-D19-E19-F19-G19))</f>
        <v>11</v>
      </c>
      <c r="I19" s="42"/>
      <c r="J19" s="19">
        <v>5</v>
      </c>
      <c r="K19" s="20">
        <v>0</v>
      </c>
      <c r="L19" s="21">
        <v>0</v>
      </c>
      <c r="M19" s="101"/>
      <c r="N19" s="142">
        <v>9</v>
      </c>
      <c r="O19" s="143"/>
      <c r="Q19" s="41">
        <f>IF(LEN(A19)=0,"",J19+K19+L19-D19-E19-F19+N19)</f>
        <v>13</v>
      </c>
      <c r="R19" s="22"/>
    </row>
    <row r="20" spans="1:18" x14ac:dyDescent="0.25">
      <c r="A20" s="62">
        <f>IF(LEN(A19)=0, "",EOMONTH(A19, 0)+1)</f>
        <v>43647</v>
      </c>
      <c r="B20" s="39">
        <f>IF(LEN(A20)=0,"",VLOOKUP(MONTH(A20),'DO NOT TOUCH'!$A$3:$H$14,3,FALSE))</f>
        <v>31</v>
      </c>
      <c r="C20" s="39">
        <f t="shared" si="0"/>
        <v>8</v>
      </c>
      <c r="D20" s="98">
        <f>IF(LEN($A20)=0,"",IFERROR(IF(DAY($A20)&lt;=('DO NOT TOUCH'!$A20/ABS('DO NOT TOUCH'!B20)),'DO NOT TOUCH'!B20,IF(DAY($A20)&lt;=('DO NOT TOUCH'!$A20/ABS('DO NOT TOUCH'!B20)*2),MIN(ABS('DO NOT TOUCH'!B20)-1,'DO NOT TOUCH'!B20+1),IF(DAY($A20)&lt;=('DO NOT TOUCH'!$A20/ABS('DO NOT TOUCH'!B20)*3),MIN(ABS('DO NOT TOUCH'!B20)-2,'DO NOT TOUCH'!B20+2),MIN('DO NOT TOUCH'!B20-3,'DO NOT TOUCH'!B20+3)))),0))</f>
        <v>4</v>
      </c>
      <c r="E20" s="39">
        <f>IF(LEN($A20)=0,"",IFERROR(IF(DAY($A20)&lt;=('DO NOT TOUCH'!$A20/ABS('DO NOT TOUCH'!C20)),'DO NOT TOUCH'!C20,IF(DAY($A20)&lt;=('DO NOT TOUCH'!$A20/ABS('DO NOT TOUCH'!C20)*2),MIN(ABS('DO NOT TOUCH'!C20)-1,'DO NOT TOUCH'!C20+1),IF(DAY($A20)&lt;=('DO NOT TOUCH'!$A20/ABS('DO NOT TOUCH'!C20)*3),MIN(ABS('DO NOT TOUCH'!C20)-2,'DO NOT TOUCH'!C20+2),MIN('DO NOT TOUCH'!C20-3,'DO NOT TOUCH'!C20+3)))),0))</f>
        <v>0</v>
      </c>
      <c r="F20" s="39">
        <f>IF(LEN($A20)=0,"",IFERROR(IF(DAY($A20)&lt;=('DO NOT TOUCH'!$A20/ABS('DO NOT TOUCH'!D20)),'DO NOT TOUCH'!D20,IF(DAY($A20)&lt;=('DO NOT TOUCH'!$A20/ABS('DO NOT TOUCH'!D20)*2),MIN(ABS('DO NOT TOUCH'!D20)-1,'DO NOT TOUCH'!D20+1),IF(DAY($A20)&lt;=('DO NOT TOUCH'!$A20/ABS('DO NOT TOUCH'!D20)*3),MIN(ABS('DO NOT TOUCH'!D20)-2,'DO NOT TOUCH'!D20+2),MIN('DO NOT TOUCH'!D20-3,'DO NOT TOUCH'!D20+3)))),0))</f>
        <v>-1</v>
      </c>
      <c r="G20" s="39">
        <f>IF(LEN(A20)=0,"",SUMPRODUCT((YEAR(Holidays!$E$2:$R$13)=YEAR(A20))*(MONTH(Holidays!$E$2:$R$13)=MONTH(A20))*(Holidays!$E$2:$R$13&gt;=A20)))</f>
        <v>1</v>
      </c>
      <c r="H20" s="40">
        <f t="shared" ref="H20:H34" si="1">IF(LEN(A20)=0,"",B20-C20-D20-E20-F20-G20)</f>
        <v>19</v>
      </c>
      <c r="J20" s="19">
        <v>4</v>
      </c>
      <c r="K20" s="20">
        <v>0</v>
      </c>
      <c r="L20" s="21">
        <v>0</v>
      </c>
      <c r="M20" s="101"/>
      <c r="N20" s="144">
        <v>15</v>
      </c>
      <c r="O20" s="145"/>
      <c r="Q20" s="41">
        <f t="shared" ref="Q20:Q34" si="2">IF(LEN(A20)=0,"",J20+K20+L20-D20-E20-F20+N20)</f>
        <v>16</v>
      </c>
      <c r="R20" s="22"/>
    </row>
    <row r="21" spans="1:18" x14ac:dyDescent="0.25">
      <c r="A21" s="62">
        <f t="shared" ref="A20:A34" si="3">IF(LEN(A20)=0, "",EOMONTH(A20, 0)+1)</f>
        <v>43678</v>
      </c>
      <c r="B21" s="39">
        <f>IF(LEN(A21)=0,"",VLOOKUP(MONTH(A21),'DO NOT TOUCH'!$A$3:$H$14,3,FALSE))</f>
        <v>31</v>
      </c>
      <c r="C21" s="39">
        <f t="shared" si="0"/>
        <v>9</v>
      </c>
      <c r="D21" s="98">
        <f>IF(LEN($A21)=0,"",IFERROR(IF(DAY($A21)&lt;=('DO NOT TOUCH'!$A21/ABS('DO NOT TOUCH'!B21)),'DO NOT TOUCH'!B21,IF(DAY($A21)&lt;=('DO NOT TOUCH'!$A21/ABS('DO NOT TOUCH'!B21)*2),MIN(ABS('DO NOT TOUCH'!B21)-1,'DO NOT TOUCH'!B21+1),IF(DAY($A21)&lt;=('DO NOT TOUCH'!$A21/ABS('DO NOT TOUCH'!B21)*3),MIN(ABS('DO NOT TOUCH'!B21)-2,'DO NOT TOUCH'!B21+2),MIN('DO NOT TOUCH'!B21-3,'DO NOT TOUCH'!B21+3)))),0))</f>
        <v>3</v>
      </c>
      <c r="E21" s="39">
        <f>IF(LEN($A21)=0,"",IFERROR(IF(DAY($A21)&lt;=('DO NOT TOUCH'!$A21/ABS('DO NOT TOUCH'!C21)),'DO NOT TOUCH'!C21,IF(DAY($A21)&lt;=('DO NOT TOUCH'!$A21/ABS('DO NOT TOUCH'!C21)*2),MIN(ABS('DO NOT TOUCH'!C21)-1,'DO NOT TOUCH'!C21+1),IF(DAY($A21)&lt;=('DO NOT TOUCH'!$A21/ABS('DO NOT TOUCH'!C21)*3),MIN(ABS('DO NOT TOUCH'!C21)-2,'DO NOT TOUCH'!C21+2),MIN('DO NOT TOUCH'!C21-3,'DO NOT TOUCH'!C21+3)))),0))</f>
        <v>0</v>
      </c>
      <c r="F21" s="39">
        <f>IF(LEN($A21)=0,"",IFERROR(IF(DAY($A21)&lt;=('DO NOT TOUCH'!$A21/ABS('DO NOT TOUCH'!D21)),'DO NOT TOUCH'!D21,IF(DAY($A21)&lt;=('DO NOT TOUCH'!$A21/ABS('DO NOT TOUCH'!D21)*2),MIN(ABS('DO NOT TOUCH'!D21)-1,'DO NOT TOUCH'!D21+1),IF(DAY($A21)&lt;=('DO NOT TOUCH'!$A21/ABS('DO NOT TOUCH'!D21)*3),MIN(ABS('DO NOT TOUCH'!D21)-2,'DO NOT TOUCH'!D21+2),MIN('DO NOT TOUCH'!D21-3,'DO NOT TOUCH'!D21+3)))),0))</f>
        <v>-2</v>
      </c>
      <c r="G21" s="39">
        <f>IF(LEN(A21)=0,"",SUMPRODUCT((YEAR(Holidays!$E$2:$R$13)=YEAR(A21))*(MONTH(Holidays!$E$2:$R$13)=MONTH(A21))*(Holidays!$E$2:$R$13&gt;=A21)))</f>
        <v>0</v>
      </c>
      <c r="H21" s="40">
        <f t="shared" si="1"/>
        <v>21</v>
      </c>
      <c r="J21" s="19">
        <v>3</v>
      </c>
      <c r="K21" s="20">
        <v>0</v>
      </c>
      <c r="L21" s="21">
        <v>0</v>
      </c>
      <c r="M21" s="101"/>
      <c r="N21" s="144">
        <v>0</v>
      </c>
      <c r="O21" s="145"/>
      <c r="Q21" s="41">
        <f t="shared" si="2"/>
        <v>2</v>
      </c>
      <c r="R21" s="22"/>
    </row>
    <row r="22" spans="1:18" x14ac:dyDescent="0.25">
      <c r="A22" s="62">
        <f t="shared" si="3"/>
        <v>43709</v>
      </c>
      <c r="B22" s="39">
        <f>IF(LEN(A22)=0,"",VLOOKUP(MONTH(A22),'DO NOT TOUCH'!$A$3:$H$14,3,FALSE))</f>
        <v>30</v>
      </c>
      <c r="C22" s="39">
        <f t="shared" si="0"/>
        <v>9</v>
      </c>
      <c r="D22" s="98">
        <f>IF(LEN($A22)=0,"",IFERROR(IF(DAY($A22)&lt;=('DO NOT TOUCH'!$A22/ABS('DO NOT TOUCH'!B22)),'DO NOT TOUCH'!B22,IF(DAY($A22)&lt;=('DO NOT TOUCH'!$A22/ABS('DO NOT TOUCH'!B22)*2),MIN(ABS('DO NOT TOUCH'!B22)-1,'DO NOT TOUCH'!B22+1),IF(DAY($A22)&lt;=('DO NOT TOUCH'!$A22/ABS('DO NOT TOUCH'!B22)*3),MIN(ABS('DO NOT TOUCH'!B22)-2,'DO NOT TOUCH'!B22+2),MIN('DO NOT TOUCH'!B22-3,'DO NOT TOUCH'!B22+3)))),0))</f>
        <v>3</v>
      </c>
      <c r="E22" s="39">
        <f>IF(LEN($A22)=0,"",IFERROR(IF(DAY($A22)&lt;=('DO NOT TOUCH'!$A22/ABS('DO NOT TOUCH'!C22)),'DO NOT TOUCH'!C22,IF(DAY($A22)&lt;=('DO NOT TOUCH'!$A22/ABS('DO NOT TOUCH'!C22)*2),MIN(ABS('DO NOT TOUCH'!C22)-1,'DO NOT TOUCH'!C22+1),IF(DAY($A22)&lt;=('DO NOT TOUCH'!$A22/ABS('DO NOT TOUCH'!C22)*3),MIN(ABS('DO NOT TOUCH'!C22)-2,'DO NOT TOUCH'!C22+2),MIN('DO NOT TOUCH'!C22-3,'DO NOT TOUCH'!C22+3)))),0))</f>
        <v>0</v>
      </c>
      <c r="F22" s="39">
        <f>IF(LEN($A22)=0,"",IFERROR(IF(DAY($A22)&lt;=('DO NOT TOUCH'!$A22/ABS('DO NOT TOUCH'!D22)),'DO NOT TOUCH'!D22,IF(DAY($A22)&lt;=('DO NOT TOUCH'!$A22/ABS('DO NOT TOUCH'!D22)*2),MIN(ABS('DO NOT TOUCH'!D22)-1,'DO NOT TOUCH'!D22+1),IF(DAY($A22)&lt;=('DO NOT TOUCH'!$A22/ABS('DO NOT TOUCH'!D22)*3),MIN(ABS('DO NOT TOUCH'!D22)-2,'DO NOT TOUCH'!D22+2),MIN('DO NOT TOUCH'!D22-3,'DO NOT TOUCH'!D22+3)))),0))</f>
        <v>0</v>
      </c>
      <c r="G22" s="39">
        <f>IF(LEN(A22)=0,"",SUMPRODUCT((YEAR(Holidays!$E$2:$R$13)=YEAR(A22))*(MONTH(Holidays!$E$2:$R$13)=MONTH(A22))*(Holidays!$E$2:$R$13&gt;=A22)))</f>
        <v>1</v>
      </c>
      <c r="H22" s="40">
        <f t="shared" si="1"/>
        <v>17</v>
      </c>
      <c r="J22" s="19">
        <v>1</v>
      </c>
      <c r="K22" s="20">
        <v>0</v>
      </c>
      <c r="L22" s="21">
        <v>0</v>
      </c>
      <c r="M22" s="101"/>
      <c r="N22" s="144">
        <v>0</v>
      </c>
      <c r="O22" s="145"/>
      <c r="Q22" s="41">
        <f t="shared" si="2"/>
        <v>-2</v>
      </c>
      <c r="R22" s="22"/>
    </row>
    <row r="23" spans="1:18" x14ac:dyDescent="0.25">
      <c r="A23" s="62">
        <f t="shared" si="3"/>
        <v>43739</v>
      </c>
      <c r="B23" s="39">
        <f>IF(LEN(A23)=0,"",VLOOKUP(MONTH(A23),'DO NOT TOUCH'!$A$3:$H$14,3,FALSE))</f>
        <v>31</v>
      </c>
      <c r="C23" s="39">
        <f t="shared" si="0"/>
        <v>8</v>
      </c>
      <c r="D23" s="98">
        <f>IF(LEN($A23)=0,"",IFERROR(IF(DAY($A23)&lt;=('DO NOT TOUCH'!$A23/ABS('DO NOT TOUCH'!B23)),'DO NOT TOUCH'!B23,IF(DAY($A23)&lt;=('DO NOT TOUCH'!$A23/ABS('DO NOT TOUCH'!B23)*2),MIN(ABS('DO NOT TOUCH'!B23)-1,'DO NOT TOUCH'!B23+1),IF(DAY($A23)&lt;=('DO NOT TOUCH'!$A23/ABS('DO NOT TOUCH'!B23)*3),MIN(ABS('DO NOT TOUCH'!B23)-2,'DO NOT TOUCH'!B23+2),MIN('DO NOT TOUCH'!B23-3,'DO NOT TOUCH'!B23+3)))),0))</f>
        <v>2</v>
      </c>
      <c r="E23" s="39">
        <f>IF(LEN($A23)=0,"",IFERROR(IF(DAY($A23)&lt;=('DO NOT TOUCH'!$A23/ABS('DO NOT TOUCH'!C23)),'DO NOT TOUCH'!C23,IF(DAY($A23)&lt;=('DO NOT TOUCH'!$A23/ABS('DO NOT TOUCH'!C23)*2),MIN(ABS('DO NOT TOUCH'!C23)-1,'DO NOT TOUCH'!C23+1),IF(DAY($A23)&lt;=('DO NOT TOUCH'!$A23/ABS('DO NOT TOUCH'!C23)*3),MIN(ABS('DO NOT TOUCH'!C23)-2,'DO NOT TOUCH'!C23+2),MIN('DO NOT TOUCH'!C23-3,'DO NOT TOUCH'!C23+3)))),0))</f>
        <v>0</v>
      </c>
      <c r="F23" s="39">
        <f>IF(LEN($A23)=0,"",IFERROR(IF(DAY($A23)&lt;=('DO NOT TOUCH'!$A23/ABS('DO NOT TOUCH'!D23)),'DO NOT TOUCH'!D23,IF(DAY($A23)&lt;=('DO NOT TOUCH'!$A23/ABS('DO NOT TOUCH'!D23)*2),MIN(ABS('DO NOT TOUCH'!D23)-1,'DO NOT TOUCH'!D23+1),IF(DAY($A23)&lt;=('DO NOT TOUCH'!$A23/ABS('DO NOT TOUCH'!D23)*3),MIN(ABS('DO NOT TOUCH'!D23)-2,'DO NOT TOUCH'!D23+2),MIN('DO NOT TOUCH'!D23-3,'DO NOT TOUCH'!D23+3)))),0))</f>
        <v>0</v>
      </c>
      <c r="G23" s="39">
        <f>IF(LEN(A23)=0,"",SUMPRODUCT((YEAR(Holidays!$E$2:$R$13)=YEAR(A23))*(MONTH(Holidays!$E$2:$R$13)=MONTH(A23))*(Holidays!$E$2:$R$13&gt;=A23)))</f>
        <v>1</v>
      </c>
      <c r="H23" s="40">
        <f t="shared" si="1"/>
        <v>20</v>
      </c>
      <c r="J23" s="19">
        <v>2</v>
      </c>
      <c r="K23" s="20">
        <v>0</v>
      </c>
      <c r="L23" s="21">
        <v>0</v>
      </c>
      <c r="M23" s="101"/>
      <c r="N23" s="144">
        <v>0</v>
      </c>
      <c r="O23" s="145"/>
      <c r="Q23" s="41">
        <f t="shared" si="2"/>
        <v>0</v>
      </c>
      <c r="R23" s="22"/>
    </row>
    <row r="24" spans="1:18" x14ac:dyDescent="0.25">
      <c r="A24" s="62">
        <f t="shared" si="3"/>
        <v>43770</v>
      </c>
      <c r="B24" s="39">
        <f>IF(LEN(A24)=0,"",VLOOKUP(MONTH(A24),'DO NOT TOUCH'!$A$3:$H$14,3,FALSE))</f>
        <v>30</v>
      </c>
      <c r="C24" s="39">
        <f t="shared" si="0"/>
        <v>9</v>
      </c>
      <c r="D24" s="98">
        <f>IF(LEN($A24)=0,"",IFERROR(IF(DAY($A24)&lt;=('DO NOT TOUCH'!$A24/ABS('DO NOT TOUCH'!B24)),'DO NOT TOUCH'!B24,IF(DAY($A24)&lt;=('DO NOT TOUCH'!$A24/ABS('DO NOT TOUCH'!B24)*2),MIN(ABS('DO NOT TOUCH'!B24)-1,'DO NOT TOUCH'!B24+1),IF(DAY($A24)&lt;=('DO NOT TOUCH'!$A24/ABS('DO NOT TOUCH'!B24)*3),MIN(ABS('DO NOT TOUCH'!B24)-2,'DO NOT TOUCH'!B24+2),MIN('DO NOT TOUCH'!B24-3,'DO NOT TOUCH'!B24+3)))),0))</f>
        <v>2</v>
      </c>
      <c r="E24" s="39">
        <f>IF(LEN($A24)=0,"",IFERROR(IF(DAY($A24)&lt;=('DO NOT TOUCH'!$A24/ABS('DO NOT TOUCH'!C24)),'DO NOT TOUCH'!C24,IF(DAY($A24)&lt;=('DO NOT TOUCH'!$A24/ABS('DO NOT TOUCH'!C24)*2),MIN(ABS('DO NOT TOUCH'!C24)-1,'DO NOT TOUCH'!C24+1),IF(DAY($A24)&lt;=('DO NOT TOUCH'!$A24/ABS('DO NOT TOUCH'!C24)*3),MIN(ABS('DO NOT TOUCH'!C24)-2,'DO NOT TOUCH'!C24+2),MIN('DO NOT TOUCH'!C24-3,'DO NOT TOUCH'!C24+3)))),0))</f>
        <v>0</v>
      </c>
      <c r="F24" s="39">
        <f>IF(LEN($A24)=0,"",IFERROR(IF(DAY($A24)&lt;=('DO NOT TOUCH'!$A24/ABS('DO NOT TOUCH'!D24)),'DO NOT TOUCH'!D24,IF(DAY($A24)&lt;=('DO NOT TOUCH'!$A24/ABS('DO NOT TOUCH'!D24)*2),MIN(ABS('DO NOT TOUCH'!D24)-1,'DO NOT TOUCH'!D24+1),IF(DAY($A24)&lt;=('DO NOT TOUCH'!$A24/ABS('DO NOT TOUCH'!D24)*3),MIN(ABS('DO NOT TOUCH'!D24)-2,'DO NOT TOUCH'!D24+2),MIN('DO NOT TOUCH'!D24-3,'DO NOT TOUCH'!D24+3)))),0))</f>
        <v>0</v>
      </c>
      <c r="G24" s="39">
        <f>IF(LEN(A24)=0,"",SUMPRODUCT((YEAR(Holidays!$E$2:$R$13)=YEAR(A24))*(MONTH(Holidays!$E$2:$R$13)=MONTH(A24))*(Holidays!$E$2:$R$13&gt;=A24)))</f>
        <v>3</v>
      </c>
      <c r="H24" s="40">
        <f t="shared" si="1"/>
        <v>16</v>
      </c>
      <c r="J24" s="19">
        <v>3</v>
      </c>
      <c r="K24" s="20">
        <v>0</v>
      </c>
      <c r="L24" s="21">
        <v>2</v>
      </c>
      <c r="M24" s="101"/>
      <c r="N24" s="144">
        <v>0</v>
      </c>
      <c r="O24" s="145"/>
      <c r="Q24" s="41">
        <f t="shared" si="2"/>
        <v>3</v>
      </c>
      <c r="R24" s="22"/>
    </row>
    <row r="25" spans="1:18" x14ac:dyDescent="0.25">
      <c r="A25" s="62">
        <f t="shared" si="3"/>
        <v>43800</v>
      </c>
      <c r="B25" s="39">
        <f>IF(LEN(A25)=0,"",VLOOKUP(MONTH(A25),'DO NOT TOUCH'!$A$3:$H$14,3,FALSE))</f>
        <v>31</v>
      </c>
      <c r="C25" s="39">
        <f t="shared" si="0"/>
        <v>9</v>
      </c>
      <c r="D25" s="98">
        <f>IF(LEN($A25)=0,"",IFERROR(IF(DAY($A25)&lt;=('DO NOT TOUCH'!$A25/ABS('DO NOT TOUCH'!B25)),'DO NOT TOUCH'!B25,IF(DAY($A25)&lt;=('DO NOT TOUCH'!$A25/ABS('DO NOT TOUCH'!B25)*2),MIN(ABS('DO NOT TOUCH'!B25)-1,'DO NOT TOUCH'!B25+1),IF(DAY($A25)&lt;=('DO NOT TOUCH'!$A25/ABS('DO NOT TOUCH'!B25)*3),MIN(ABS('DO NOT TOUCH'!B25)-2,'DO NOT TOUCH'!B25+2),MIN('DO NOT TOUCH'!B25-3,'DO NOT TOUCH'!B25+3)))),0))</f>
        <v>2</v>
      </c>
      <c r="E25" s="39">
        <f>IF(LEN($A25)=0,"",IFERROR(IF(DAY($A25)&lt;=('DO NOT TOUCH'!$A25/ABS('DO NOT TOUCH'!C25)),'DO NOT TOUCH'!C25,IF(DAY($A25)&lt;=('DO NOT TOUCH'!$A25/ABS('DO NOT TOUCH'!C25)*2),MIN(ABS('DO NOT TOUCH'!C25)-1,'DO NOT TOUCH'!C25+1),IF(DAY($A25)&lt;=('DO NOT TOUCH'!$A25/ABS('DO NOT TOUCH'!C25)*3),MIN(ABS('DO NOT TOUCH'!C25)-2,'DO NOT TOUCH'!C25+2),MIN('DO NOT TOUCH'!C25-3,'DO NOT TOUCH'!C25+3)))),0))</f>
        <v>1</v>
      </c>
      <c r="F25" s="39">
        <f>IF(LEN($A25)=0,"",IFERROR(IF(DAY($A25)&lt;=('DO NOT TOUCH'!$A25/ABS('DO NOT TOUCH'!D25)),'DO NOT TOUCH'!D25,IF(DAY($A25)&lt;=('DO NOT TOUCH'!$A25/ABS('DO NOT TOUCH'!D25)*2),MIN(ABS('DO NOT TOUCH'!D25)-1,'DO NOT TOUCH'!D25+1),IF(DAY($A25)&lt;=('DO NOT TOUCH'!$A25/ABS('DO NOT TOUCH'!D25)*3),MIN(ABS('DO NOT TOUCH'!D25)-2,'DO NOT TOUCH'!D25+2),MIN('DO NOT TOUCH'!D25-3,'DO NOT TOUCH'!D25+3)))),0))</f>
        <v>1</v>
      </c>
      <c r="G25" s="39">
        <f>IF(LEN(A25)=0,"",SUMPRODUCT((YEAR(Holidays!$E$2:$R$13)=YEAR(A25))*(MONTH(Holidays!$E$2:$R$13)=MONTH(A25))*(Holidays!$E$2:$R$13&gt;=A25)))</f>
        <v>2</v>
      </c>
      <c r="H25" s="40">
        <f t="shared" si="1"/>
        <v>16</v>
      </c>
      <c r="J25" s="19">
        <v>1</v>
      </c>
      <c r="K25" s="20">
        <v>0</v>
      </c>
      <c r="L25" s="21">
        <v>2</v>
      </c>
      <c r="M25" s="101"/>
      <c r="N25" s="144">
        <v>0</v>
      </c>
      <c r="O25" s="145"/>
      <c r="Q25" s="41">
        <f t="shared" si="2"/>
        <v>-1</v>
      </c>
      <c r="R25" s="22"/>
    </row>
    <row r="26" spans="1:18" x14ac:dyDescent="0.25">
      <c r="A26" s="62">
        <f t="shared" si="3"/>
        <v>43831</v>
      </c>
      <c r="B26" s="39">
        <f>IF(LEN(A26)=0,"",VLOOKUP(MONTH(A26),'DO NOT TOUCH'!$A$3:$H$14,3,FALSE))</f>
        <v>31</v>
      </c>
      <c r="C26" s="39">
        <f t="shared" si="0"/>
        <v>8</v>
      </c>
      <c r="D26" s="98">
        <f>IF(LEN($A26)=0,"",IFERROR(IF(DAY($A26)&lt;=('DO NOT TOUCH'!$A26/ABS('DO NOT TOUCH'!B26)),'DO NOT TOUCH'!B26,IF(DAY($A26)&lt;=('DO NOT TOUCH'!$A26/ABS('DO NOT TOUCH'!B26)*2),MIN(ABS('DO NOT TOUCH'!B26)-1,'DO NOT TOUCH'!B26+1),IF(DAY($A26)&lt;=('DO NOT TOUCH'!$A26/ABS('DO NOT TOUCH'!B26)*3),MIN(ABS('DO NOT TOUCH'!B26)-2,'DO NOT TOUCH'!B26+2),MIN('DO NOT TOUCH'!B26-3,'DO NOT TOUCH'!B26+3)))),0))</f>
        <v>3</v>
      </c>
      <c r="E26" s="39">
        <f>IF(LEN($A26)=0,"",IFERROR(IF(DAY($A26)&lt;=('DO NOT TOUCH'!$A26/ABS('DO NOT TOUCH'!C26)),'DO NOT TOUCH'!C26,IF(DAY($A26)&lt;=('DO NOT TOUCH'!$A26/ABS('DO NOT TOUCH'!C26)*2),MIN(ABS('DO NOT TOUCH'!C26)-1,'DO NOT TOUCH'!C26+1),IF(DAY($A26)&lt;=('DO NOT TOUCH'!$A26/ABS('DO NOT TOUCH'!C26)*3),MIN(ABS('DO NOT TOUCH'!C26)-2,'DO NOT TOUCH'!C26+2),MIN('DO NOT TOUCH'!C26-3,'DO NOT TOUCH'!C26+3)))),0))</f>
        <v>2</v>
      </c>
      <c r="F26" s="39">
        <f>IF(LEN($A26)=0,"",IFERROR(IF(DAY($A26)&lt;=('DO NOT TOUCH'!$A26/ABS('DO NOT TOUCH'!D26)),'DO NOT TOUCH'!D26,IF(DAY($A26)&lt;=('DO NOT TOUCH'!$A26/ABS('DO NOT TOUCH'!D26)*2),MIN(ABS('DO NOT TOUCH'!D26)-1,'DO NOT TOUCH'!D26+1),IF(DAY($A26)&lt;=('DO NOT TOUCH'!$A26/ABS('DO NOT TOUCH'!D26)*3),MIN(ABS('DO NOT TOUCH'!D26)-2,'DO NOT TOUCH'!D26+2),MIN('DO NOT TOUCH'!D26-3,'DO NOT TOUCH'!D26+3)))),0))</f>
        <v>1</v>
      </c>
      <c r="G26" s="39">
        <f>IF(LEN(A26)=0,"",SUMPRODUCT((YEAR(Holidays!$E$2:$R$13)=YEAR(A26))*(MONTH(Holidays!$E$2:$R$13)=MONTH(A26))*(Holidays!$E$2:$R$13&gt;=A26)))</f>
        <v>2</v>
      </c>
      <c r="H26" s="40">
        <f t="shared" si="1"/>
        <v>15</v>
      </c>
      <c r="J26" s="19">
        <v>3</v>
      </c>
      <c r="K26" s="20">
        <v>0</v>
      </c>
      <c r="L26" s="21">
        <v>0</v>
      </c>
      <c r="M26" s="101"/>
      <c r="N26" s="144">
        <v>0</v>
      </c>
      <c r="O26" s="145"/>
      <c r="Q26" s="41">
        <f t="shared" si="2"/>
        <v>-3</v>
      </c>
      <c r="R26" s="22"/>
    </row>
    <row r="27" spans="1:18" x14ac:dyDescent="0.25">
      <c r="A27" s="62">
        <f t="shared" si="3"/>
        <v>43862</v>
      </c>
      <c r="B27" s="39">
        <f>IF(LEN(A27)=0,"",VLOOKUP(MONTH(A27),'DO NOT TOUCH'!$A$3:$H$14,3,FALSE))</f>
        <v>28</v>
      </c>
      <c r="C27" s="39">
        <f t="shared" si="0"/>
        <v>9</v>
      </c>
      <c r="D27" s="98">
        <f>IF(LEN($A27)=0,"",IFERROR(IF(DAY($A27)&lt;=('DO NOT TOUCH'!$A27/ABS('DO NOT TOUCH'!B27)),'DO NOT TOUCH'!B27,IF(DAY($A27)&lt;=('DO NOT TOUCH'!$A27/ABS('DO NOT TOUCH'!B27)*2),MIN(ABS('DO NOT TOUCH'!B27)-1,'DO NOT TOUCH'!B27+1),IF(DAY($A27)&lt;=('DO NOT TOUCH'!$A27/ABS('DO NOT TOUCH'!B27)*3),MIN(ABS('DO NOT TOUCH'!B27)-2,'DO NOT TOUCH'!B27+2),MIN('DO NOT TOUCH'!B27-3,'DO NOT TOUCH'!B27+3)))),0))</f>
        <v>3</v>
      </c>
      <c r="E27" s="39">
        <f>IF(LEN($A27)=0,"",IFERROR(IF(DAY($A27)&lt;=('DO NOT TOUCH'!$A27/ABS('DO NOT TOUCH'!C27)),'DO NOT TOUCH'!C27,IF(DAY($A27)&lt;=('DO NOT TOUCH'!$A27/ABS('DO NOT TOUCH'!C27)*2),MIN(ABS('DO NOT TOUCH'!C27)-1,'DO NOT TOUCH'!C27+1),IF(DAY($A27)&lt;=('DO NOT TOUCH'!$A27/ABS('DO NOT TOUCH'!C27)*3),MIN(ABS('DO NOT TOUCH'!C27)-2,'DO NOT TOUCH'!C27+2),MIN('DO NOT TOUCH'!C27-3,'DO NOT TOUCH'!C27+3)))),0))</f>
        <v>1</v>
      </c>
      <c r="F27" s="39">
        <f>IF(LEN($A27)=0,"",IFERROR(IF(DAY($A27)&lt;=('DO NOT TOUCH'!$A27/ABS('DO NOT TOUCH'!D27)),'DO NOT TOUCH'!D27,IF(DAY($A27)&lt;=('DO NOT TOUCH'!$A27/ABS('DO NOT TOUCH'!D27)*2),MIN(ABS('DO NOT TOUCH'!D27)-1,'DO NOT TOUCH'!D27+1),IF(DAY($A27)&lt;=('DO NOT TOUCH'!$A27/ABS('DO NOT TOUCH'!D27)*3),MIN(ABS('DO NOT TOUCH'!D27)-2,'DO NOT TOUCH'!D27+2),MIN('DO NOT TOUCH'!D27-3,'DO NOT TOUCH'!D27+3)))),0))</f>
        <v>1</v>
      </c>
      <c r="G27" s="39">
        <f>IF(LEN(A27)=0,"",SUMPRODUCT((YEAR(Holidays!$E$2:$R$13)=YEAR(A27))*(MONTH(Holidays!$E$2:$R$13)=MONTH(A27))*(Holidays!$E$2:$R$13&gt;=A27)))</f>
        <v>0</v>
      </c>
      <c r="H27" s="40">
        <f t="shared" si="1"/>
        <v>14</v>
      </c>
      <c r="J27" s="19">
        <v>2</v>
      </c>
      <c r="K27" s="20">
        <v>0</v>
      </c>
      <c r="L27" s="21">
        <v>0</v>
      </c>
      <c r="M27" s="101"/>
      <c r="N27" s="144">
        <v>0</v>
      </c>
      <c r="O27" s="145"/>
      <c r="Q27" s="41">
        <f t="shared" si="2"/>
        <v>-3</v>
      </c>
      <c r="R27" s="22"/>
    </row>
    <row r="28" spans="1:18" x14ac:dyDescent="0.25">
      <c r="A28" s="62">
        <f t="shared" si="3"/>
        <v>43891</v>
      </c>
      <c r="B28" s="39">
        <f>IF(LEN(A28)=0,"",VLOOKUP(MONTH(A28),'DO NOT TOUCH'!$A$3:$H$14,3,FALSE))</f>
        <v>31</v>
      </c>
      <c r="C28" s="39">
        <f t="shared" si="0"/>
        <v>9</v>
      </c>
      <c r="D28" s="98">
        <f>IF(LEN($A28)=0,"",IFERROR(IF(DAY($A28)&lt;=('DO NOT TOUCH'!$A28/ABS('DO NOT TOUCH'!B28)),'DO NOT TOUCH'!B28,IF(DAY($A28)&lt;=('DO NOT TOUCH'!$A28/ABS('DO NOT TOUCH'!B28)*2),MIN(ABS('DO NOT TOUCH'!B28)-1,'DO NOT TOUCH'!B28+1),IF(DAY($A28)&lt;=('DO NOT TOUCH'!$A28/ABS('DO NOT TOUCH'!B28)*3),MIN(ABS('DO NOT TOUCH'!B28)-2,'DO NOT TOUCH'!B28+2),MIN('DO NOT TOUCH'!B28-3,'DO NOT TOUCH'!B28+3)))),0))</f>
        <v>3</v>
      </c>
      <c r="E28" s="39">
        <f>IF(LEN($A28)=0,"",IFERROR(IF(DAY($A28)&lt;=('DO NOT TOUCH'!$A28/ABS('DO NOT TOUCH'!C28)),'DO NOT TOUCH'!C28,IF(DAY($A28)&lt;=('DO NOT TOUCH'!$A28/ABS('DO NOT TOUCH'!C28)*2),MIN(ABS('DO NOT TOUCH'!C28)-1,'DO NOT TOUCH'!C28+1),IF(DAY($A28)&lt;=('DO NOT TOUCH'!$A28/ABS('DO NOT TOUCH'!C28)*3),MIN(ABS('DO NOT TOUCH'!C28)-2,'DO NOT TOUCH'!C28+2),MIN('DO NOT TOUCH'!C28-3,'DO NOT TOUCH'!C28+3)))),0))</f>
        <v>0</v>
      </c>
      <c r="F28" s="39">
        <f>IF(LEN($A28)=0,"",IFERROR(IF(DAY($A28)&lt;=('DO NOT TOUCH'!$A28/ABS('DO NOT TOUCH'!D28)),'DO NOT TOUCH'!D28,IF(DAY($A28)&lt;=('DO NOT TOUCH'!$A28/ABS('DO NOT TOUCH'!D28)*2),MIN(ABS('DO NOT TOUCH'!D28)-1,'DO NOT TOUCH'!D28+1),IF(DAY($A28)&lt;=('DO NOT TOUCH'!$A28/ABS('DO NOT TOUCH'!D28)*3),MIN(ABS('DO NOT TOUCH'!D28)-2,'DO NOT TOUCH'!D28+2),MIN('DO NOT TOUCH'!D28-3,'DO NOT TOUCH'!D28+3)))),0))</f>
        <v>1</v>
      </c>
      <c r="G28" s="39">
        <f>IF(LEN(A28)=0,"",SUMPRODUCT((YEAR(Holidays!$E$2:$R$13)=YEAR(A28))*(MONTH(Holidays!$E$2:$R$13)=MONTH(A28))*(Holidays!$E$2:$R$13&gt;=A28)))</f>
        <v>0</v>
      </c>
      <c r="H28" s="40">
        <f t="shared" si="1"/>
        <v>18</v>
      </c>
      <c r="J28" s="19">
        <v>4</v>
      </c>
      <c r="K28" s="20">
        <v>0</v>
      </c>
      <c r="L28" s="21">
        <v>0</v>
      </c>
      <c r="M28" s="101"/>
      <c r="N28" s="144">
        <v>0</v>
      </c>
      <c r="O28" s="145"/>
      <c r="Q28" s="41">
        <f t="shared" si="2"/>
        <v>0</v>
      </c>
      <c r="R28" s="22" t="s">
        <v>25</v>
      </c>
    </row>
    <row r="29" spans="1:18" x14ac:dyDescent="0.25">
      <c r="A29" s="62">
        <f t="shared" si="3"/>
        <v>43922</v>
      </c>
      <c r="B29" s="39">
        <f>IF(LEN(A29)=0,"",VLOOKUP(MONTH(A29),'DO NOT TOUCH'!$A$3:$H$14,3,FALSE))</f>
        <v>30</v>
      </c>
      <c r="C29" s="39">
        <f t="shared" si="0"/>
        <v>8</v>
      </c>
      <c r="D29" s="98">
        <f>IF(LEN($A29)=0,"",IFERROR(IF(DAY($A29)&lt;=('DO NOT TOUCH'!$A29/ABS('DO NOT TOUCH'!B29)),'DO NOT TOUCH'!B29,IF(DAY($A29)&lt;=('DO NOT TOUCH'!$A29/ABS('DO NOT TOUCH'!B29)*2),MIN(ABS('DO NOT TOUCH'!B29)-1,'DO NOT TOUCH'!B29+1),IF(DAY($A29)&lt;=('DO NOT TOUCH'!$A29/ABS('DO NOT TOUCH'!B29)*3),MIN(ABS('DO NOT TOUCH'!B29)-2,'DO NOT TOUCH'!B29+2),MIN('DO NOT TOUCH'!B29-3,'DO NOT TOUCH'!B29+3)))),0))</f>
        <v>2</v>
      </c>
      <c r="E29" s="39">
        <f>IF(LEN($A29)=0,"",IFERROR(IF(DAY($A29)&lt;=('DO NOT TOUCH'!$A29/ABS('DO NOT TOUCH'!C29)),'DO NOT TOUCH'!C29,IF(DAY($A29)&lt;=('DO NOT TOUCH'!$A29/ABS('DO NOT TOUCH'!C29)*2),MIN(ABS('DO NOT TOUCH'!C29)-1,'DO NOT TOUCH'!C29+1),IF(DAY($A29)&lt;=('DO NOT TOUCH'!$A29/ABS('DO NOT TOUCH'!C29)*3),MIN(ABS('DO NOT TOUCH'!C29)-2,'DO NOT TOUCH'!C29+2),MIN('DO NOT TOUCH'!C29-3,'DO NOT TOUCH'!C29+3)))),0))</f>
        <v>0</v>
      </c>
      <c r="F29" s="39">
        <f>IF(LEN($A29)=0,"",IFERROR(IF(DAY($A29)&lt;=('DO NOT TOUCH'!$A29/ABS('DO NOT TOUCH'!D29)),'DO NOT TOUCH'!D29,IF(DAY($A29)&lt;=('DO NOT TOUCH'!$A29/ABS('DO NOT TOUCH'!D29)*2),MIN(ABS('DO NOT TOUCH'!D29)-1,'DO NOT TOUCH'!D29+1),IF(DAY($A29)&lt;=('DO NOT TOUCH'!$A29/ABS('DO NOT TOUCH'!D29)*3),MIN(ABS('DO NOT TOUCH'!D29)-2,'DO NOT TOUCH'!D29+2),MIN('DO NOT TOUCH'!D29-3,'DO NOT TOUCH'!D29+3)))),0))</f>
        <v>1</v>
      </c>
      <c r="G29" s="39">
        <f>IF(LEN(A29)=0,"",SUMPRODUCT((YEAR(Holidays!$E$2:$R$13)=YEAR(A29))*(MONTH(Holidays!$E$2:$R$13)=MONTH(A29))*(Holidays!$E$2:$R$13&gt;=A29)))</f>
        <v>1</v>
      </c>
      <c r="H29" s="40">
        <f t="shared" si="1"/>
        <v>18</v>
      </c>
      <c r="J29" s="19">
        <v>2</v>
      </c>
      <c r="K29" s="20">
        <v>0</v>
      </c>
      <c r="L29" s="21">
        <v>0</v>
      </c>
      <c r="M29" s="101"/>
      <c r="N29" s="144">
        <v>0</v>
      </c>
      <c r="O29" s="145"/>
      <c r="Q29" s="41">
        <f t="shared" si="2"/>
        <v>-1</v>
      </c>
      <c r="R29" s="22" t="s">
        <v>26</v>
      </c>
    </row>
    <row r="30" spans="1:18" x14ac:dyDescent="0.25">
      <c r="A30" s="62">
        <f t="shared" si="3"/>
        <v>43952</v>
      </c>
      <c r="B30" s="39">
        <f>IF(LEN(A30)=0,"",VLOOKUP(MONTH(A30),'DO NOT TOUCH'!$A$3:$H$14,3,FALSE))</f>
        <v>31</v>
      </c>
      <c r="C30" s="39">
        <f t="shared" si="0"/>
        <v>10</v>
      </c>
      <c r="D30" s="98">
        <f>IF(LEN($A30)=0,"",IFERROR(IF(DAY($A30)&lt;=('DO NOT TOUCH'!$A30/ABS('DO NOT TOUCH'!B30)),'DO NOT TOUCH'!B30,IF(DAY($A30)&lt;=('DO NOT TOUCH'!$A30/ABS('DO NOT TOUCH'!B30)*2),MIN(ABS('DO NOT TOUCH'!B30)-1,'DO NOT TOUCH'!B30+1),IF(DAY($A30)&lt;=('DO NOT TOUCH'!$A30/ABS('DO NOT TOUCH'!B30)*3),MIN(ABS('DO NOT TOUCH'!B30)-2,'DO NOT TOUCH'!B30+2),MIN('DO NOT TOUCH'!B30-3,'DO NOT TOUCH'!B30+3)))),0))</f>
        <v>2</v>
      </c>
      <c r="E30" s="39">
        <f>IF(LEN($A30)=0,"",IFERROR(IF(DAY($A30)&lt;=('DO NOT TOUCH'!$A30/ABS('DO NOT TOUCH'!C30)),'DO NOT TOUCH'!C30,IF(DAY($A30)&lt;=('DO NOT TOUCH'!$A30/ABS('DO NOT TOUCH'!C30)*2),MIN(ABS('DO NOT TOUCH'!C30)-1,'DO NOT TOUCH'!C30+1),IF(DAY($A30)&lt;=('DO NOT TOUCH'!$A30/ABS('DO NOT TOUCH'!C30)*3),MIN(ABS('DO NOT TOUCH'!C30)-2,'DO NOT TOUCH'!C30+2),MIN('DO NOT TOUCH'!C30-3,'DO NOT TOUCH'!C30+3)))),0))</f>
        <v>0</v>
      </c>
      <c r="F30" s="39">
        <f>IF(LEN($A30)=0,"",IFERROR(IF(DAY($A30)&lt;=('DO NOT TOUCH'!$A30/ABS('DO NOT TOUCH'!D30)),'DO NOT TOUCH'!D30,IF(DAY($A30)&lt;=('DO NOT TOUCH'!$A30/ABS('DO NOT TOUCH'!D30)*2),MIN(ABS('DO NOT TOUCH'!D30)-1,'DO NOT TOUCH'!D30+1),IF(DAY($A30)&lt;=('DO NOT TOUCH'!$A30/ABS('DO NOT TOUCH'!D30)*3),MIN(ABS('DO NOT TOUCH'!D30)-2,'DO NOT TOUCH'!D30+2),MIN('DO NOT TOUCH'!D30-3,'DO NOT TOUCH'!D30+3)))),0))</f>
        <v>-1</v>
      </c>
      <c r="G30" s="39">
        <f>IF(LEN(A30)=0,"",SUMPRODUCT((YEAR(Holidays!$E$2:$R$13)=YEAR(A30))*(MONTH(Holidays!$E$2:$R$13)=MONTH(A30))*(Holidays!$E$2:$R$13&gt;=A30)))</f>
        <v>1</v>
      </c>
      <c r="H30" s="40">
        <f t="shared" si="1"/>
        <v>19</v>
      </c>
      <c r="J30" s="19">
        <v>4</v>
      </c>
      <c r="K30" s="20">
        <v>0</v>
      </c>
      <c r="L30" s="21">
        <v>0</v>
      </c>
      <c r="M30" s="101"/>
      <c r="N30" s="144">
        <v>0</v>
      </c>
      <c r="O30" s="145"/>
      <c r="P30" s="7"/>
      <c r="Q30" s="41">
        <f t="shared" si="2"/>
        <v>3</v>
      </c>
      <c r="R30" s="22" t="s">
        <v>27</v>
      </c>
    </row>
    <row r="31" spans="1:18" x14ac:dyDescent="0.25">
      <c r="A31" s="62">
        <f t="shared" si="3"/>
        <v>43983</v>
      </c>
      <c r="B31" s="39">
        <f>IF(LEN(A31)=0,"",VLOOKUP(MONTH(A31),'DO NOT TOUCH'!$A$3:$H$14,3,FALSE))</f>
        <v>30</v>
      </c>
      <c r="C31" s="39">
        <f t="shared" si="0"/>
        <v>8</v>
      </c>
      <c r="D31" s="98">
        <f>IF(LEN($A31)=0,"",IFERROR(IF(DAY($A31)&lt;=('DO NOT TOUCH'!$A31/ABS('DO NOT TOUCH'!B31)),'DO NOT TOUCH'!B31,IF(DAY($A31)&lt;=('DO NOT TOUCH'!$A31/ABS('DO NOT TOUCH'!B31)*2),MIN(ABS('DO NOT TOUCH'!B31)-1,'DO NOT TOUCH'!B31+1),IF(DAY($A31)&lt;=('DO NOT TOUCH'!$A31/ABS('DO NOT TOUCH'!B31)*3),MIN(ABS('DO NOT TOUCH'!B31)-2,'DO NOT TOUCH'!B31+2),MIN('DO NOT TOUCH'!B31-3,'DO NOT TOUCH'!B31+3)))),0))</f>
        <v>3</v>
      </c>
      <c r="E31" s="39">
        <f>IF(LEN($A31)=0,"",IFERROR(IF(DAY($A31)&lt;=('DO NOT TOUCH'!$A31/ABS('DO NOT TOUCH'!C31)),'DO NOT TOUCH'!C31,IF(DAY($A31)&lt;=('DO NOT TOUCH'!$A31/ABS('DO NOT TOUCH'!C31)*2),MIN(ABS('DO NOT TOUCH'!C31)-1,'DO NOT TOUCH'!C31+1),IF(DAY($A31)&lt;=('DO NOT TOUCH'!$A31/ABS('DO NOT TOUCH'!C31)*3),MIN(ABS('DO NOT TOUCH'!C31)-2,'DO NOT TOUCH'!C31+2),MIN('DO NOT TOUCH'!C31-3,'DO NOT TOUCH'!C31+3)))),0))</f>
        <v>0</v>
      </c>
      <c r="F31" s="39">
        <f>IF(LEN($A31)=0,"",IFERROR(IF(DAY($A31)&lt;=('DO NOT TOUCH'!$A31/ABS('DO NOT TOUCH'!D31)),'DO NOT TOUCH'!D31,IF(DAY($A31)&lt;=('DO NOT TOUCH'!$A31/ABS('DO NOT TOUCH'!D31)*2),MIN(ABS('DO NOT TOUCH'!D31)-1,'DO NOT TOUCH'!D31+1),IF(DAY($A31)&lt;=('DO NOT TOUCH'!$A31/ABS('DO NOT TOUCH'!D31)*3),MIN(ABS('DO NOT TOUCH'!D31)-2,'DO NOT TOUCH'!D31+2),MIN('DO NOT TOUCH'!D31-3,'DO NOT TOUCH'!D31+3)))),0))</f>
        <v>-1</v>
      </c>
      <c r="G31" s="39">
        <f>IF(LEN(A31)=0,"",SUMPRODUCT((YEAR(Holidays!$E$2:$R$13)=YEAR(A31))*(MONTH(Holidays!$E$2:$R$13)=MONTH(A31))*(Holidays!$E$2:$R$13&gt;=A31)))</f>
        <v>0</v>
      </c>
      <c r="H31" s="40">
        <f t="shared" si="1"/>
        <v>20</v>
      </c>
      <c r="J31" s="19">
        <v>5</v>
      </c>
      <c r="K31" s="20">
        <v>0</v>
      </c>
      <c r="L31" s="21">
        <v>0</v>
      </c>
      <c r="M31" s="101"/>
      <c r="N31" s="144">
        <v>0</v>
      </c>
      <c r="O31" s="145"/>
      <c r="P31" s="7"/>
      <c r="Q31" s="41">
        <f t="shared" si="2"/>
        <v>3</v>
      </c>
      <c r="R31" s="22"/>
    </row>
    <row r="32" spans="1:18" x14ac:dyDescent="0.25">
      <c r="A32" s="62">
        <f t="shared" si="3"/>
        <v>44013</v>
      </c>
      <c r="B32" s="39">
        <f>IF(LEN(A32)=0,"",VLOOKUP(MONTH(A32),'DO NOT TOUCH'!$A$3:$H$14,3,FALSE))</f>
        <v>31</v>
      </c>
      <c r="C32" s="39">
        <f t="shared" si="0"/>
        <v>8</v>
      </c>
      <c r="D32" s="98">
        <f>IF(LEN($A32)=0,"",IFERROR(IF(DAY($A32)&lt;=('DO NOT TOUCH'!$A32/ABS('DO NOT TOUCH'!B32)),'DO NOT TOUCH'!B32,IF(DAY($A32)&lt;=('DO NOT TOUCH'!$A32/ABS('DO NOT TOUCH'!B32)*2),MIN(ABS('DO NOT TOUCH'!B32)-1,'DO NOT TOUCH'!B32+1),IF(DAY($A32)&lt;=('DO NOT TOUCH'!$A32/ABS('DO NOT TOUCH'!B32)*3),MIN(ABS('DO NOT TOUCH'!B32)-2,'DO NOT TOUCH'!B32+2),MIN('DO NOT TOUCH'!B32-3,'DO NOT TOUCH'!B32+3)))),0))</f>
        <v>4</v>
      </c>
      <c r="E32" s="39">
        <f>IF(LEN($A32)=0,"",IFERROR(IF(DAY($A32)&lt;=('DO NOT TOUCH'!$A32/ABS('DO NOT TOUCH'!C32)),'DO NOT TOUCH'!C32,IF(DAY($A32)&lt;=('DO NOT TOUCH'!$A32/ABS('DO NOT TOUCH'!C32)*2),MIN(ABS('DO NOT TOUCH'!C32)-1,'DO NOT TOUCH'!C32+1),IF(DAY($A32)&lt;=('DO NOT TOUCH'!$A32/ABS('DO NOT TOUCH'!C32)*3),MIN(ABS('DO NOT TOUCH'!C32)-2,'DO NOT TOUCH'!C32+2),MIN('DO NOT TOUCH'!C32-3,'DO NOT TOUCH'!C32+3)))),0))</f>
        <v>0</v>
      </c>
      <c r="F32" s="39">
        <f>IF(LEN($A32)=0,"",IFERROR(IF(DAY($A32)&lt;=('DO NOT TOUCH'!$A32/ABS('DO NOT TOUCH'!D32)),'DO NOT TOUCH'!D32,IF(DAY($A32)&lt;=('DO NOT TOUCH'!$A32/ABS('DO NOT TOUCH'!D32)*2),MIN(ABS('DO NOT TOUCH'!D32)-1,'DO NOT TOUCH'!D32+1),IF(DAY($A32)&lt;=('DO NOT TOUCH'!$A32/ABS('DO NOT TOUCH'!D32)*3),MIN(ABS('DO NOT TOUCH'!D32)-2,'DO NOT TOUCH'!D32+2),MIN('DO NOT TOUCH'!D32-3,'DO NOT TOUCH'!D32+3)))),0))</f>
        <v>-1</v>
      </c>
      <c r="G32" s="39">
        <f>IF(LEN(A32)=0,"",SUMPRODUCT((YEAR(Holidays!$E$2:$R$13)=YEAR(A32))*(MONTH(Holidays!$E$2:$R$13)=MONTH(A32))*(Holidays!$E$2:$R$13&gt;=A32)))</f>
        <v>1</v>
      </c>
      <c r="H32" s="40">
        <f t="shared" si="1"/>
        <v>19</v>
      </c>
      <c r="J32" s="19">
        <v>3</v>
      </c>
      <c r="K32" s="20">
        <v>0</v>
      </c>
      <c r="L32" s="21">
        <v>0</v>
      </c>
      <c r="M32" s="101"/>
      <c r="N32" s="144">
        <v>0</v>
      </c>
      <c r="O32" s="145"/>
      <c r="P32" s="7"/>
      <c r="Q32" s="41">
        <f t="shared" si="2"/>
        <v>0</v>
      </c>
      <c r="R32" s="22"/>
    </row>
    <row r="33" spans="1:18" x14ac:dyDescent="0.25">
      <c r="A33" s="62">
        <f t="shared" si="3"/>
        <v>44044</v>
      </c>
      <c r="B33" s="39">
        <f>IF(LEN(A33)=0,"",VLOOKUP(MONTH(A33),'DO NOT TOUCH'!$A$3:$H$14,3,FALSE))</f>
        <v>31</v>
      </c>
      <c r="C33" s="39">
        <f t="shared" si="0"/>
        <v>10</v>
      </c>
      <c r="D33" s="98">
        <f>IF(LEN($A33)=0,"",IFERROR(IF(DAY($A33)&lt;=('DO NOT TOUCH'!$A33/ABS('DO NOT TOUCH'!B33)),'DO NOT TOUCH'!B33,IF(DAY($A33)&lt;=('DO NOT TOUCH'!$A33/ABS('DO NOT TOUCH'!B33)*2),MIN(ABS('DO NOT TOUCH'!B33)-1,'DO NOT TOUCH'!B33+1),IF(DAY($A33)&lt;=('DO NOT TOUCH'!$A33/ABS('DO NOT TOUCH'!B33)*3),MIN(ABS('DO NOT TOUCH'!B33)-2,'DO NOT TOUCH'!B33+2),MIN('DO NOT TOUCH'!B33-3,'DO NOT TOUCH'!B33+3)))),0))</f>
        <v>3</v>
      </c>
      <c r="E33" s="39">
        <f>IF(LEN($A33)=0,"",IFERROR(IF(DAY($A33)&lt;=('DO NOT TOUCH'!$A33/ABS('DO NOT TOUCH'!C33)),'DO NOT TOUCH'!C33,IF(DAY($A33)&lt;=('DO NOT TOUCH'!$A33/ABS('DO NOT TOUCH'!C33)*2),MIN(ABS('DO NOT TOUCH'!C33)-1,'DO NOT TOUCH'!C33+1),IF(DAY($A33)&lt;=('DO NOT TOUCH'!$A33/ABS('DO NOT TOUCH'!C33)*3),MIN(ABS('DO NOT TOUCH'!C33)-2,'DO NOT TOUCH'!C33+2),MIN('DO NOT TOUCH'!C33-3,'DO NOT TOUCH'!C33+3)))),0))</f>
        <v>0</v>
      </c>
      <c r="F33" s="39">
        <f>IF(LEN($A33)=0,"",IFERROR(IF(DAY($A33)&lt;=('DO NOT TOUCH'!$A33/ABS('DO NOT TOUCH'!D33)),'DO NOT TOUCH'!D33,IF(DAY($A33)&lt;=('DO NOT TOUCH'!$A33/ABS('DO NOT TOUCH'!D33)*2),MIN(ABS('DO NOT TOUCH'!D33)-1,'DO NOT TOUCH'!D33+1),IF(DAY($A33)&lt;=('DO NOT TOUCH'!$A33/ABS('DO NOT TOUCH'!D33)*3),MIN(ABS('DO NOT TOUCH'!D33)-2,'DO NOT TOUCH'!D33+2),MIN('DO NOT TOUCH'!D33-3,'DO NOT TOUCH'!D33+3)))),0))</f>
        <v>-2</v>
      </c>
      <c r="G33" s="39">
        <f>IF(LEN(A33)=0,"",SUMPRODUCT((YEAR(Holidays!$E$2:$R$13)=YEAR(A33))*(MONTH(Holidays!$E$2:$R$13)=MONTH(A33))*(Holidays!$E$2:$R$13&gt;=A33)))</f>
        <v>0</v>
      </c>
      <c r="H33" s="40">
        <f t="shared" si="1"/>
        <v>20</v>
      </c>
      <c r="J33" s="19">
        <v>1</v>
      </c>
      <c r="K33" s="20">
        <v>0</v>
      </c>
      <c r="L33" s="21">
        <v>0</v>
      </c>
      <c r="M33" s="101"/>
      <c r="N33" s="144">
        <v>0</v>
      </c>
      <c r="O33" s="145"/>
      <c r="P33" s="7"/>
      <c r="Q33" s="41">
        <f t="shared" si="2"/>
        <v>0</v>
      </c>
      <c r="R33" s="22"/>
    </row>
    <row r="34" spans="1:18" ht="15.75" thickBot="1" x14ac:dyDescent="0.3">
      <c r="A34" s="76">
        <f t="shared" si="3"/>
        <v>44075</v>
      </c>
      <c r="B34" s="46">
        <f>IF(LEN(A34)=0,"",VLOOKUP(MONTH(A34),'DO NOT TOUCH'!$A$3:$H$14,3,FALSE))</f>
        <v>30</v>
      </c>
      <c r="C34" s="46">
        <f t="shared" si="0"/>
        <v>8</v>
      </c>
      <c r="D34" s="99">
        <f>IF(LEN($A34)=0,"",IFERROR(IF(DAY($A34)&lt;=('DO NOT TOUCH'!$A34/ABS('DO NOT TOUCH'!B34)),'DO NOT TOUCH'!B34,IF(DAY($A34)&lt;=('DO NOT TOUCH'!$A34/ABS('DO NOT TOUCH'!B34)*2),MIN(ABS('DO NOT TOUCH'!B34)-1,'DO NOT TOUCH'!B34+1),IF(DAY($A34)&lt;=('DO NOT TOUCH'!$A34/ABS('DO NOT TOUCH'!B34)*3),MIN(ABS('DO NOT TOUCH'!B34)-2,'DO NOT TOUCH'!B34+2),MIN('DO NOT TOUCH'!B34-3,'DO NOT TOUCH'!B34+3)))),0))</f>
        <v>3</v>
      </c>
      <c r="E34" s="46">
        <f>IF(LEN($A34)=0,"",IFERROR(IF(DAY($A34)&lt;=('DO NOT TOUCH'!$A34/ABS('DO NOT TOUCH'!C34)),'DO NOT TOUCH'!C34,IF(DAY($A34)&lt;=('DO NOT TOUCH'!$A34/ABS('DO NOT TOUCH'!C34)*2),MIN(ABS('DO NOT TOUCH'!C34)-1,'DO NOT TOUCH'!C34+1),IF(DAY($A34)&lt;=('DO NOT TOUCH'!$A34/ABS('DO NOT TOUCH'!C34)*3),MIN(ABS('DO NOT TOUCH'!C34)-2,'DO NOT TOUCH'!C34+2),MIN('DO NOT TOUCH'!C34-3,'DO NOT TOUCH'!C34+3)))),0))</f>
        <v>0</v>
      </c>
      <c r="F34" s="46">
        <f>IF(LEN($A34)=0,"",IFERROR(IF(DAY($A34)&lt;=('DO NOT TOUCH'!$A34/ABS('DO NOT TOUCH'!D34)),'DO NOT TOUCH'!D34,IF(DAY($A34)&lt;=('DO NOT TOUCH'!$A34/ABS('DO NOT TOUCH'!D34)*2),MIN(ABS('DO NOT TOUCH'!D34)-1,'DO NOT TOUCH'!D34+1),IF(DAY($A34)&lt;=('DO NOT TOUCH'!$A34/ABS('DO NOT TOUCH'!D34)*3),MIN(ABS('DO NOT TOUCH'!D34)-2,'DO NOT TOUCH'!D34+2),MIN('DO NOT TOUCH'!D34-3,'DO NOT TOUCH'!D34+3)))),0))</f>
        <v>0</v>
      </c>
      <c r="G34" s="46">
        <f>IF(LEN(A34)=0,"",SUMPRODUCT((YEAR(Holidays!$E$2:$R$13)=YEAR(A34))*(MONTH(Holidays!$E$2:$R$13)=MONTH(A34))*(Holidays!$E$2:$R$13&gt;=A34)))</f>
        <v>1</v>
      </c>
      <c r="H34" s="47">
        <f t="shared" si="1"/>
        <v>18</v>
      </c>
      <c r="J34" s="77">
        <v>3</v>
      </c>
      <c r="K34" s="78">
        <v>0</v>
      </c>
      <c r="L34" s="104">
        <v>0</v>
      </c>
      <c r="M34" s="101"/>
      <c r="N34" s="146">
        <v>0</v>
      </c>
      <c r="O34" s="147"/>
      <c r="P34" s="7"/>
      <c r="Q34" s="41">
        <f t="shared" si="2"/>
        <v>0</v>
      </c>
      <c r="R34" s="22"/>
    </row>
    <row r="35" spans="1:18" x14ac:dyDescent="0.25">
      <c r="Q35" s="72" t="s">
        <v>74</v>
      </c>
      <c r="R35" s="22"/>
    </row>
    <row r="36" spans="1:18" x14ac:dyDescent="0.25">
      <c r="K36" s="55"/>
      <c r="Q36" s="41">
        <f>SUM(Q19:Q34)</f>
        <v>30</v>
      </c>
      <c r="R36" s="43" t="s">
        <v>28</v>
      </c>
    </row>
    <row r="37" spans="1:18" ht="15.75" thickBot="1" x14ac:dyDescent="0.3">
      <c r="Q37" s="44"/>
      <c r="R37" s="45" t="s">
        <v>29</v>
      </c>
    </row>
    <row r="39" spans="1:18" x14ac:dyDescent="0.25">
      <c r="Q39" s="48" t="s">
        <v>30</v>
      </c>
    </row>
    <row r="40" spans="1:18" x14ac:dyDescent="0.25">
      <c r="Q40" s="48" t="s">
        <v>32</v>
      </c>
    </row>
    <row r="41" spans="1:18" x14ac:dyDescent="0.25">
      <c r="Q41" s="48" t="s">
        <v>34</v>
      </c>
    </row>
    <row r="47" spans="1:18" x14ac:dyDescent="0.25">
      <c r="B47" s="8">
        <f>EOMONTH(B7,-1)+1</f>
        <v>43770</v>
      </c>
      <c r="L47" s="80"/>
      <c r="M47" s="80"/>
      <c r="N47" s="80"/>
      <c r="O47" s="80"/>
    </row>
    <row r="49" spans="2:24" x14ac:dyDescent="0.25">
      <c r="B49" s="84">
        <f>B47</f>
        <v>43770</v>
      </c>
      <c r="C49" s="85">
        <f>Q36</f>
        <v>30</v>
      </c>
      <c r="D49" s="118" t="s">
        <v>31</v>
      </c>
      <c r="E49" s="118"/>
      <c r="F49" s="118"/>
      <c r="G49" s="86"/>
      <c r="H49" s="94">
        <f>LOOKUP(2,1/(C49:C55&lt;&gt;""),C49:C55)+'DO NOT TOUCH'!A36</f>
        <v>14</v>
      </c>
      <c r="I49" s="95" t="s">
        <v>31</v>
      </c>
      <c r="J49" s="95"/>
    </row>
    <row r="50" spans="2:24" x14ac:dyDescent="0.25">
      <c r="B50" s="87">
        <f>IFERROR(IF($C$49&gt;0,EOMONTH(B49,0)+1,""),"")</f>
        <v>43800</v>
      </c>
      <c r="C50" s="88">
        <f>IF(B50&lt;&gt;"",VLOOKUP(B50,$A$19:$H$34,8,FALSE),0)</f>
        <v>16</v>
      </c>
      <c r="D50" s="119" t="s">
        <v>33</v>
      </c>
      <c r="E50" s="119"/>
      <c r="F50" s="119"/>
      <c r="G50" s="119"/>
    </row>
    <row r="51" spans="2:24" ht="15.75" thickBot="1" x14ac:dyDescent="0.3">
      <c r="B51" s="87">
        <f>IFERROR(IF($C$49-C50&gt;0,EOMONTH(B50,0)+1,""),"")</f>
        <v>43831</v>
      </c>
      <c r="C51" s="88">
        <f>IF(B51&lt;&gt;"",VLOOKUP(B51,$A$19:$H$34,8,FALSE),"")</f>
        <v>15</v>
      </c>
      <c r="D51" s="119" t="s">
        <v>33</v>
      </c>
      <c r="E51" s="119"/>
      <c r="F51" s="119"/>
      <c r="G51" s="119"/>
    </row>
    <row r="52" spans="2:24" ht="12" customHeight="1" thickBot="1" x14ac:dyDescent="0.3">
      <c r="B52" s="87" t="str">
        <f>IFERROR(IF($C$49-SUM($C$50:C51)&gt;0,EOMONTH(B51,0)+1,""),"")</f>
        <v/>
      </c>
      <c r="C52" s="88" t="str">
        <f>IF(B52&lt;&gt;"",VLOOKUP(B52,$A$19:$H$34,8,FALSE),"")</f>
        <v/>
      </c>
      <c r="D52" s="119" t="s">
        <v>33</v>
      </c>
      <c r="E52" s="119"/>
      <c r="F52" s="119"/>
      <c r="G52" s="119"/>
      <c r="K52" s="116">
        <f>B58+C61-1</f>
        <v>43858</v>
      </c>
      <c r="L52" s="117"/>
      <c r="M52" s="108"/>
      <c r="N52" s="108"/>
      <c r="O52" s="108"/>
      <c r="X52" s="50">
        <f>WORKDAY(B58,C61,Holidays!F2:M13)</f>
        <v>43872</v>
      </c>
    </row>
    <row r="53" spans="2:24" x14ac:dyDescent="0.25">
      <c r="B53" s="87" t="str">
        <f>IFERROR(IF($C$49-SUM($C$50:C52)&gt;0,EOMONTH(B52,0)+1,""),"")</f>
        <v/>
      </c>
      <c r="C53" s="88" t="str">
        <f>IF(B53&lt;&gt;"",VLOOKUP(B53,$A$19:$H$34,8,FALSE),"")</f>
        <v/>
      </c>
      <c r="D53" s="119" t="s">
        <v>33</v>
      </c>
      <c r="E53" s="119"/>
      <c r="F53" s="119"/>
      <c r="G53" s="119"/>
      <c r="I53" s="58"/>
    </row>
    <row r="54" spans="2:24" x14ac:dyDescent="0.25">
      <c r="B54" s="87" t="str">
        <f>IFERROR(IF($C$49-SUM($C$50:C53)&gt;0,EOMONTH(B53,0)+1,""),"")</f>
        <v/>
      </c>
      <c r="C54" s="88" t="str">
        <f>IF(B54&lt;&gt;"",VLOOKUP(B54,$A$19:$H$34,8,FALSE),"")</f>
        <v/>
      </c>
      <c r="D54" s="119" t="s">
        <v>33</v>
      </c>
      <c r="E54" s="119"/>
      <c r="F54" s="119"/>
      <c r="G54" s="119"/>
      <c r="I54" s="58"/>
    </row>
    <row r="55" spans="2:24" x14ac:dyDescent="0.25">
      <c r="B55" s="87" t="str">
        <f>IFERROR(IF($C$49-SUM($C$50:C54)&gt;0,EOMONTH(B54,0)+1,""),"")</f>
        <v/>
      </c>
      <c r="C55" s="88" t="str">
        <f>IF(B55&lt;&gt;"",VLOOKUP(B55,$A$19:$H$34,8,FALSE),"")</f>
        <v/>
      </c>
      <c r="D55" s="119" t="s">
        <v>33</v>
      </c>
      <c r="E55" s="119"/>
      <c r="F55" s="119"/>
      <c r="G55" s="119"/>
    </row>
    <row r="58" spans="2:24" x14ac:dyDescent="0.25">
      <c r="B58" s="89">
        <f>MAX(B49:B55)</f>
        <v>43831</v>
      </c>
      <c r="C58" s="90">
        <f>H49</f>
        <v>14</v>
      </c>
      <c r="D58" s="120" t="s">
        <v>31</v>
      </c>
      <c r="E58" s="120"/>
      <c r="F58" s="120"/>
      <c r="G58" s="91"/>
    </row>
    <row r="59" spans="2:24" x14ac:dyDescent="0.25">
      <c r="B59" s="91"/>
      <c r="C59" s="92">
        <f>IF(B58&lt;&gt;"",VLOOKUP(B58,$A$19:$H$34,8,FALSE),0)</f>
        <v>15</v>
      </c>
      <c r="D59" s="120" t="s">
        <v>33</v>
      </c>
      <c r="E59" s="120"/>
      <c r="F59" s="120"/>
      <c r="G59" s="120"/>
    </row>
    <row r="60" spans="2:24" x14ac:dyDescent="0.25">
      <c r="B60" s="91"/>
      <c r="C60" s="93">
        <f>C58/C59*30</f>
        <v>28</v>
      </c>
      <c r="D60" s="120" t="s">
        <v>36</v>
      </c>
      <c r="E60" s="120"/>
      <c r="F60" s="120"/>
      <c r="G60" s="120"/>
    </row>
    <row r="61" spans="2:24" x14ac:dyDescent="0.25">
      <c r="B61" s="91"/>
      <c r="C61" s="90">
        <f>ROUNDUP(C60,0)</f>
        <v>28</v>
      </c>
      <c r="D61" s="120" t="s">
        <v>35</v>
      </c>
      <c r="E61" s="120"/>
      <c r="F61" s="120"/>
      <c r="G61" s="120"/>
    </row>
  </sheetData>
  <mergeCells count="38">
    <mergeCell ref="J5:R6"/>
    <mergeCell ref="A3:A4"/>
    <mergeCell ref="B2:E2"/>
    <mergeCell ref="B1:E1"/>
    <mergeCell ref="B3:E4"/>
    <mergeCell ref="J2:R2"/>
    <mergeCell ref="J3:R4"/>
    <mergeCell ref="D59:G59"/>
    <mergeCell ref="D61:G61"/>
    <mergeCell ref="D58:F58"/>
    <mergeCell ref="D60:G60"/>
    <mergeCell ref="D51:G51"/>
    <mergeCell ref="D52:G52"/>
    <mergeCell ref="D53:G53"/>
    <mergeCell ref="D54:G54"/>
    <mergeCell ref="D55:G55"/>
    <mergeCell ref="N22:O22"/>
    <mergeCell ref="N23:O23"/>
    <mergeCell ref="K52:L52"/>
    <mergeCell ref="D49:F49"/>
    <mergeCell ref="D50:G50"/>
    <mergeCell ref="N12:O14"/>
    <mergeCell ref="N34:O34"/>
    <mergeCell ref="Q13:R16"/>
    <mergeCell ref="J9:R9"/>
    <mergeCell ref="N29:O29"/>
    <mergeCell ref="N30:O30"/>
    <mergeCell ref="N31:O31"/>
    <mergeCell ref="N32:O32"/>
    <mergeCell ref="N33:O33"/>
    <mergeCell ref="N24:O24"/>
    <mergeCell ref="N25:O25"/>
    <mergeCell ref="N26:O26"/>
    <mergeCell ref="N27:O27"/>
    <mergeCell ref="N28:O28"/>
    <mergeCell ref="N19:O19"/>
    <mergeCell ref="N20:O20"/>
    <mergeCell ref="N21:O2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C1:R13"/>
  <sheetViews>
    <sheetView workbookViewId="0">
      <selection activeCell="E17" sqref="E17"/>
    </sheetView>
  </sheetViews>
  <sheetFormatPr defaultRowHeight="15" x14ac:dyDescent="0.25"/>
  <cols>
    <col min="3" max="3" width="25.42578125" customWidth="1"/>
    <col min="4" max="4" width="5.5703125" bestFit="1" customWidth="1"/>
    <col min="5" max="18" width="12.7109375" bestFit="1" customWidth="1"/>
  </cols>
  <sheetData>
    <row r="1" spans="3:18" x14ac:dyDescent="0.25">
      <c r="E1">
        <v>2015</v>
      </c>
      <c r="F1">
        <v>2016</v>
      </c>
      <c r="G1">
        <v>2017</v>
      </c>
      <c r="H1">
        <v>2018</v>
      </c>
      <c r="I1">
        <v>2019</v>
      </c>
      <c r="J1">
        <v>2020</v>
      </c>
      <c r="K1">
        <v>2021</v>
      </c>
      <c r="L1">
        <v>2022</v>
      </c>
      <c r="M1">
        <v>2023</v>
      </c>
      <c r="N1">
        <v>2024</v>
      </c>
      <c r="O1">
        <v>2025</v>
      </c>
      <c r="P1">
        <v>2026</v>
      </c>
      <c r="Q1">
        <v>2027</v>
      </c>
      <c r="R1">
        <v>2028</v>
      </c>
    </row>
    <row r="2" spans="3:18" x14ac:dyDescent="0.25">
      <c r="C2" s="51" t="s">
        <v>38</v>
      </c>
      <c r="D2" s="52" t="s">
        <v>39</v>
      </c>
      <c r="E2" s="53">
        <f t="shared" ref="E2:R2" si="0">DATE(E1,1,1)</f>
        <v>42005</v>
      </c>
      <c r="F2" s="53">
        <f t="shared" si="0"/>
        <v>42370</v>
      </c>
      <c r="G2" s="53">
        <f t="shared" si="0"/>
        <v>42736</v>
      </c>
      <c r="H2" s="53">
        <f t="shared" si="0"/>
        <v>43101</v>
      </c>
      <c r="I2" s="53">
        <f t="shared" si="0"/>
        <v>43466</v>
      </c>
      <c r="J2" s="53">
        <f t="shared" si="0"/>
        <v>43831</v>
      </c>
      <c r="K2" s="53">
        <f t="shared" si="0"/>
        <v>44197</v>
      </c>
      <c r="L2" s="53">
        <f t="shared" si="0"/>
        <v>44562</v>
      </c>
      <c r="M2" s="53">
        <f t="shared" si="0"/>
        <v>44927</v>
      </c>
      <c r="N2" s="53">
        <f t="shared" si="0"/>
        <v>45292</v>
      </c>
      <c r="O2" s="53">
        <f t="shared" si="0"/>
        <v>45658</v>
      </c>
      <c r="P2" s="53">
        <f t="shared" si="0"/>
        <v>46023</v>
      </c>
      <c r="Q2" s="53">
        <f t="shared" si="0"/>
        <v>46388</v>
      </c>
      <c r="R2" s="53">
        <f t="shared" si="0"/>
        <v>46753</v>
      </c>
    </row>
    <row r="3" spans="3:18" ht="30" x14ac:dyDescent="0.25">
      <c r="C3" s="51" t="s">
        <v>40</v>
      </c>
      <c r="D3" s="52" t="s">
        <v>41</v>
      </c>
      <c r="E3" s="53">
        <f t="shared" ref="E3:R3" si="1">DATE(E1,1,1)+14+CHOOSE(WEEKDAY(DATE(E1,1,1)),1,0,6,5,4,3,2)</f>
        <v>42023</v>
      </c>
      <c r="F3" s="53">
        <f t="shared" si="1"/>
        <v>42387</v>
      </c>
      <c r="G3" s="53">
        <f t="shared" si="1"/>
        <v>42751</v>
      </c>
      <c r="H3" s="53">
        <f t="shared" si="1"/>
        <v>43115</v>
      </c>
      <c r="I3" s="53">
        <f t="shared" si="1"/>
        <v>43486</v>
      </c>
      <c r="J3" s="53">
        <f t="shared" si="1"/>
        <v>43850</v>
      </c>
      <c r="K3" s="53">
        <f t="shared" si="1"/>
        <v>44214</v>
      </c>
      <c r="L3" s="53">
        <f t="shared" si="1"/>
        <v>44578</v>
      </c>
      <c r="M3" s="53">
        <f t="shared" si="1"/>
        <v>44942</v>
      </c>
      <c r="N3" s="53">
        <f t="shared" si="1"/>
        <v>45306</v>
      </c>
      <c r="O3" s="53">
        <f t="shared" si="1"/>
        <v>45677</v>
      </c>
      <c r="P3" s="53">
        <f t="shared" si="1"/>
        <v>46041</v>
      </c>
      <c r="Q3" s="53">
        <f t="shared" si="1"/>
        <v>46405</v>
      </c>
      <c r="R3" s="53">
        <f t="shared" si="1"/>
        <v>46769</v>
      </c>
    </row>
    <row r="4" spans="3:18" x14ac:dyDescent="0.25">
      <c r="C4" s="51" t="s">
        <v>59</v>
      </c>
      <c r="D4" s="52" t="s">
        <v>42</v>
      </c>
      <c r="E4" s="53">
        <f>DATE(E1,4,1)+21+CHOOSE(WEEKDAY(DATE(E1,4,1)),1,0,6,5,4,3,2)</f>
        <v>42121</v>
      </c>
      <c r="F4" s="53">
        <f t="shared" ref="F4:R4" si="2">DATE(F1,4,1)+21+CHOOSE(WEEKDAY(DATE(F1,4,1)),1,0,6,5,4,3,2)</f>
        <v>42485</v>
      </c>
      <c r="G4" s="53">
        <f t="shared" si="2"/>
        <v>42849</v>
      </c>
      <c r="H4" s="53">
        <f t="shared" si="2"/>
        <v>43213</v>
      </c>
      <c r="I4" s="53">
        <f t="shared" si="2"/>
        <v>43577</v>
      </c>
      <c r="J4" s="53">
        <f t="shared" si="2"/>
        <v>43948</v>
      </c>
      <c r="K4" s="53">
        <f t="shared" si="2"/>
        <v>44312</v>
      </c>
      <c r="L4" s="53">
        <f t="shared" si="2"/>
        <v>44676</v>
      </c>
      <c r="M4" s="53">
        <f t="shared" si="2"/>
        <v>45040</v>
      </c>
      <c r="N4" s="53">
        <f t="shared" si="2"/>
        <v>45404</v>
      </c>
      <c r="O4" s="53">
        <f t="shared" si="2"/>
        <v>45775</v>
      </c>
      <c r="P4" s="53">
        <f t="shared" si="2"/>
        <v>46139</v>
      </c>
      <c r="Q4" s="53">
        <f t="shared" si="2"/>
        <v>46503</v>
      </c>
      <c r="R4" s="53">
        <f t="shared" si="2"/>
        <v>46867</v>
      </c>
    </row>
    <row r="5" spans="3:18" x14ac:dyDescent="0.25">
      <c r="C5" s="51" t="s">
        <v>43</v>
      </c>
      <c r="D5" s="52" t="s">
        <v>44</v>
      </c>
      <c r="E5" s="53">
        <f t="shared" ref="E5:R5" si="3">DATE(E1,6,1)-WEEKDAY(DATE(E1,6,6))</f>
        <v>42149</v>
      </c>
      <c r="F5" s="53">
        <f t="shared" si="3"/>
        <v>42520</v>
      </c>
      <c r="G5" s="53">
        <f t="shared" si="3"/>
        <v>42884</v>
      </c>
      <c r="H5" s="53">
        <f t="shared" si="3"/>
        <v>43248</v>
      </c>
      <c r="I5" s="53">
        <f t="shared" si="3"/>
        <v>43612</v>
      </c>
      <c r="J5" s="53">
        <f t="shared" si="3"/>
        <v>43976</v>
      </c>
      <c r="K5" s="53">
        <f t="shared" si="3"/>
        <v>44347</v>
      </c>
      <c r="L5" s="53">
        <f t="shared" si="3"/>
        <v>44711</v>
      </c>
      <c r="M5" s="53">
        <f t="shared" si="3"/>
        <v>45075</v>
      </c>
      <c r="N5" s="53">
        <f t="shared" si="3"/>
        <v>45439</v>
      </c>
      <c r="O5" s="53">
        <f t="shared" si="3"/>
        <v>45803</v>
      </c>
      <c r="P5" s="53">
        <f t="shared" si="3"/>
        <v>46167</v>
      </c>
      <c r="Q5" s="53">
        <f t="shared" si="3"/>
        <v>46538</v>
      </c>
      <c r="R5" s="53">
        <f t="shared" si="3"/>
        <v>46902</v>
      </c>
    </row>
    <row r="6" spans="3:18" x14ac:dyDescent="0.25">
      <c r="C6" s="51" t="s">
        <v>45</v>
      </c>
      <c r="D6" s="52" t="s">
        <v>46</v>
      </c>
      <c r="E6" s="53">
        <f t="shared" ref="E6:R6" si="4">DATE(E1,7,4)</f>
        <v>42189</v>
      </c>
      <c r="F6" s="53">
        <f t="shared" si="4"/>
        <v>42555</v>
      </c>
      <c r="G6" s="53">
        <f t="shared" si="4"/>
        <v>42920</v>
      </c>
      <c r="H6" s="53">
        <f t="shared" si="4"/>
        <v>43285</v>
      </c>
      <c r="I6" s="53">
        <f t="shared" si="4"/>
        <v>43650</v>
      </c>
      <c r="J6" s="53">
        <f t="shared" si="4"/>
        <v>44016</v>
      </c>
      <c r="K6" s="53">
        <f t="shared" si="4"/>
        <v>44381</v>
      </c>
      <c r="L6" s="53">
        <f t="shared" si="4"/>
        <v>44746</v>
      </c>
      <c r="M6" s="53">
        <f t="shared" si="4"/>
        <v>45111</v>
      </c>
      <c r="N6" s="53">
        <f t="shared" si="4"/>
        <v>45477</v>
      </c>
      <c r="O6" s="53">
        <f t="shared" si="4"/>
        <v>45842</v>
      </c>
      <c r="P6" s="53">
        <f t="shared" si="4"/>
        <v>46207</v>
      </c>
      <c r="Q6" s="53">
        <f t="shared" si="4"/>
        <v>46572</v>
      </c>
      <c r="R6" s="53">
        <f t="shared" si="4"/>
        <v>46938</v>
      </c>
    </row>
    <row r="7" spans="3:18" x14ac:dyDescent="0.25">
      <c r="C7" s="51" t="s">
        <v>47</v>
      </c>
      <c r="D7" s="52" t="s">
        <v>48</v>
      </c>
      <c r="E7" s="53">
        <f t="shared" ref="E7:R7" si="5">DATE(E1,9,1)+CHOOSE(WEEKDAY(DATE(E1,9,1)),1,0,6,5,4,3,2)</f>
        <v>42254</v>
      </c>
      <c r="F7" s="53">
        <f t="shared" si="5"/>
        <v>42618</v>
      </c>
      <c r="G7" s="53">
        <f t="shared" si="5"/>
        <v>42982</v>
      </c>
      <c r="H7" s="53">
        <f t="shared" si="5"/>
        <v>43346</v>
      </c>
      <c r="I7" s="53">
        <f t="shared" si="5"/>
        <v>43710</v>
      </c>
      <c r="J7" s="53">
        <f t="shared" si="5"/>
        <v>44081</v>
      </c>
      <c r="K7" s="53">
        <f t="shared" si="5"/>
        <v>44445</v>
      </c>
      <c r="L7" s="53">
        <f t="shared" si="5"/>
        <v>44809</v>
      </c>
      <c r="M7" s="53">
        <f t="shared" si="5"/>
        <v>45173</v>
      </c>
      <c r="N7" s="53">
        <f t="shared" si="5"/>
        <v>45537</v>
      </c>
      <c r="O7" s="53">
        <f t="shared" si="5"/>
        <v>45901</v>
      </c>
      <c r="P7" s="53">
        <f t="shared" si="5"/>
        <v>46272</v>
      </c>
      <c r="Q7" s="53">
        <f t="shared" si="5"/>
        <v>46636</v>
      </c>
      <c r="R7" s="53">
        <f t="shared" si="5"/>
        <v>47000</v>
      </c>
    </row>
    <row r="8" spans="3:18" x14ac:dyDescent="0.25">
      <c r="C8" s="51" t="s">
        <v>49</v>
      </c>
      <c r="D8" s="52" t="s">
        <v>50</v>
      </c>
      <c r="E8" s="53">
        <f t="shared" ref="E8:R8" si="6">DATE(E1,10,1)+7+CHOOSE(WEEKDAY(DATE(E1,10,1)),1,0,6,5,4,3,2)</f>
        <v>42289</v>
      </c>
      <c r="F8" s="53">
        <f t="shared" si="6"/>
        <v>42653</v>
      </c>
      <c r="G8" s="53">
        <f t="shared" si="6"/>
        <v>43017</v>
      </c>
      <c r="H8" s="53">
        <f t="shared" si="6"/>
        <v>43381</v>
      </c>
      <c r="I8" s="53">
        <f t="shared" si="6"/>
        <v>43752</v>
      </c>
      <c r="J8" s="53">
        <f t="shared" si="6"/>
        <v>44116</v>
      </c>
      <c r="K8" s="53">
        <f t="shared" si="6"/>
        <v>44480</v>
      </c>
      <c r="L8" s="53">
        <f t="shared" si="6"/>
        <v>44844</v>
      </c>
      <c r="M8" s="53">
        <f t="shared" si="6"/>
        <v>45208</v>
      </c>
      <c r="N8" s="53">
        <f t="shared" si="6"/>
        <v>45579</v>
      </c>
      <c r="O8" s="53">
        <f t="shared" si="6"/>
        <v>45943</v>
      </c>
      <c r="P8" s="53">
        <f t="shared" si="6"/>
        <v>46307</v>
      </c>
      <c r="Q8" s="53">
        <f t="shared" si="6"/>
        <v>46671</v>
      </c>
      <c r="R8" s="53">
        <f t="shared" si="6"/>
        <v>47035</v>
      </c>
    </row>
    <row r="9" spans="3:18" x14ac:dyDescent="0.25">
      <c r="C9" s="51" t="s">
        <v>51</v>
      </c>
      <c r="D9" s="52" t="s">
        <v>52</v>
      </c>
      <c r="E9" s="53">
        <f t="shared" ref="E9:R9" si="7">DATE(E1,11,11)</f>
        <v>42319</v>
      </c>
      <c r="F9" s="53">
        <f t="shared" si="7"/>
        <v>42685</v>
      </c>
      <c r="G9" s="53">
        <f t="shared" si="7"/>
        <v>43050</v>
      </c>
      <c r="H9" s="53">
        <f t="shared" si="7"/>
        <v>43415</v>
      </c>
      <c r="I9" s="53">
        <f t="shared" si="7"/>
        <v>43780</v>
      </c>
      <c r="J9" s="53">
        <f t="shared" si="7"/>
        <v>44146</v>
      </c>
      <c r="K9" s="53">
        <f t="shared" si="7"/>
        <v>44511</v>
      </c>
      <c r="L9" s="53">
        <f t="shared" si="7"/>
        <v>44876</v>
      </c>
      <c r="M9" s="53">
        <f t="shared" si="7"/>
        <v>45241</v>
      </c>
      <c r="N9" s="53">
        <f t="shared" si="7"/>
        <v>45607</v>
      </c>
      <c r="O9" s="53">
        <f t="shared" si="7"/>
        <v>45972</v>
      </c>
      <c r="P9" s="53">
        <f t="shared" si="7"/>
        <v>46337</v>
      </c>
      <c r="Q9" s="53">
        <f t="shared" si="7"/>
        <v>46702</v>
      </c>
      <c r="R9" s="53">
        <f t="shared" si="7"/>
        <v>47068</v>
      </c>
    </row>
    <row r="10" spans="3:18" x14ac:dyDescent="0.25">
      <c r="C10" s="51" t="s">
        <v>53</v>
      </c>
      <c r="D10" s="52" t="s">
        <v>54</v>
      </c>
      <c r="E10" s="53">
        <f t="shared" ref="E10:J10" si="8">DATE(E1,11,1)+21+CHOOSE(WEEKDAY(DATE(E1,11,1)),4,3,2,1,0,6,5)</f>
        <v>42334</v>
      </c>
      <c r="F10" s="53">
        <f t="shared" si="8"/>
        <v>42698</v>
      </c>
      <c r="G10" s="53">
        <f t="shared" si="8"/>
        <v>43062</v>
      </c>
      <c r="H10" s="53">
        <f t="shared" si="8"/>
        <v>43426</v>
      </c>
      <c r="I10" s="53">
        <f t="shared" si="8"/>
        <v>43797</v>
      </c>
      <c r="J10" s="53">
        <f t="shared" si="8"/>
        <v>44161</v>
      </c>
      <c r="K10" s="53">
        <f t="shared" ref="K10:R10" si="9">DATE(K1,11,1)+21+CHOOSE(WEEKDAY(DATE(K1,11,1)),4,3,2,1,0,6,5)</f>
        <v>44525</v>
      </c>
      <c r="L10" s="53">
        <f t="shared" si="9"/>
        <v>44889</v>
      </c>
      <c r="M10" s="53">
        <f t="shared" si="9"/>
        <v>45253</v>
      </c>
      <c r="N10" s="53">
        <f t="shared" si="9"/>
        <v>45624</v>
      </c>
      <c r="O10" s="53">
        <f t="shared" si="9"/>
        <v>45988</v>
      </c>
      <c r="P10" s="53">
        <f t="shared" si="9"/>
        <v>46352</v>
      </c>
      <c r="Q10" s="53">
        <f t="shared" si="9"/>
        <v>46716</v>
      </c>
      <c r="R10" s="53">
        <f t="shared" si="9"/>
        <v>47080</v>
      </c>
    </row>
    <row r="11" spans="3:18" x14ac:dyDescent="0.25">
      <c r="C11" s="51" t="s">
        <v>59</v>
      </c>
      <c r="D11" s="52" t="s">
        <v>56</v>
      </c>
      <c r="E11" s="53">
        <f>DATE(E1,11,1)+21+CHOOSE(WEEKDAY(DATE(E1,11,1)),5,4,3,2,1,0,6)</f>
        <v>42335</v>
      </c>
      <c r="F11" s="53">
        <f>DATE(F1,11,1)+21+CHOOSE(WEEKDAY(DATE(F1,11,1)),5,4,3,2,1,0,6)</f>
        <v>42699</v>
      </c>
      <c r="G11" s="53">
        <f>DATE(G1,11,1)+21+CHOOSE(WEEKDAY(DATE(G1,11,1)),5,4,3,2,1,0,6)</f>
        <v>43063</v>
      </c>
      <c r="H11" s="53">
        <f>DATE(H1,11,1)+21+CHOOSE(WEEKDAY(DATE(H1,11,1)),5,4,3,2,1,0,6)</f>
        <v>43427</v>
      </c>
      <c r="I11" s="53">
        <f>DATE(I1,11,1)+28+CHOOSE(WEEKDAY(DATE(I1,11,1)),5,4,3,2,1,0,6)</f>
        <v>43798</v>
      </c>
      <c r="J11" s="53">
        <f>DATE(J1,11,1)+21+CHOOSE(WEEKDAY(DATE(J1,11,1)),5,4,3,2,1,0,6)</f>
        <v>44162</v>
      </c>
      <c r="K11" s="53">
        <f t="shared" ref="K11:R11" si="10">DATE(K1,11,1)+21+CHOOSE(WEEKDAY(DATE(K1,11,1)),5,4,3,2,1,0,6)</f>
        <v>44526</v>
      </c>
      <c r="L11" s="53">
        <f t="shared" si="10"/>
        <v>44890</v>
      </c>
      <c r="M11" s="53">
        <f t="shared" si="10"/>
        <v>45254</v>
      </c>
      <c r="N11" s="53">
        <f>DATE(N1,11,1)+28+CHOOSE(WEEKDAY(DATE(N1,11,1)),5,4,3,2,1,0,6)</f>
        <v>45625</v>
      </c>
      <c r="O11" s="53">
        <f t="shared" si="10"/>
        <v>45989</v>
      </c>
      <c r="P11" s="53">
        <f t="shared" si="10"/>
        <v>46353</v>
      </c>
      <c r="Q11" s="53">
        <f t="shared" si="10"/>
        <v>46717</v>
      </c>
      <c r="R11" s="53">
        <f t="shared" si="10"/>
        <v>47081</v>
      </c>
    </row>
    <row r="12" spans="3:18" x14ac:dyDescent="0.25">
      <c r="C12" s="51" t="s">
        <v>61</v>
      </c>
      <c r="D12" s="52" t="s">
        <v>58</v>
      </c>
      <c r="E12" s="53">
        <f>DATE(E1,12,24)</f>
        <v>42362</v>
      </c>
      <c r="F12" s="53">
        <f t="shared" ref="F12:R12" si="11">DATE(F1,12,24)</f>
        <v>42728</v>
      </c>
      <c r="G12" s="53">
        <f t="shared" si="11"/>
        <v>43093</v>
      </c>
      <c r="H12" s="53">
        <f t="shared" si="11"/>
        <v>43458</v>
      </c>
      <c r="I12" s="53">
        <f t="shared" si="11"/>
        <v>43823</v>
      </c>
      <c r="J12" s="53">
        <f t="shared" si="11"/>
        <v>44189</v>
      </c>
      <c r="K12" s="53">
        <f t="shared" si="11"/>
        <v>44554</v>
      </c>
      <c r="L12" s="53">
        <f t="shared" si="11"/>
        <v>44919</v>
      </c>
      <c r="M12" s="53">
        <f t="shared" si="11"/>
        <v>45284</v>
      </c>
      <c r="N12" s="53">
        <f t="shared" si="11"/>
        <v>45650</v>
      </c>
      <c r="O12" s="53">
        <f t="shared" si="11"/>
        <v>46015</v>
      </c>
      <c r="P12" s="53">
        <f t="shared" si="11"/>
        <v>46380</v>
      </c>
      <c r="Q12" s="53">
        <f t="shared" si="11"/>
        <v>46745</v>
      </c>
      <c r="R12" s="53">
        <f t="shared" si="11"/>
        <v>47111</v>
      </c>
    </row>
    <row r="13" spans="3:18" x14ac:dyDescent="0.25">
      <c r="C13" s="51" t="s">
        <v>55</v>
      </c>
      <c r="D13" s="52" t="s">
        <v>60</v>
      </c>
      <c r="E13" s="53">
        <f t="shared" ref="E13:R13" si="12">DATE(E1,12,25)</f>
        <v>42363</v>
      </c>
      <c r="F13" s="53">
        <f t="shared" si="12"/>
        <v>42729</v>
      </c>
      <c r="G13" s="53">
        <f t="shared" si="12"/>
        <v>43094</v>
      </c>
      <c r="H13" s="53">
        <f t="shared" si="12"/>
        <v>43459</v>
      </c>
      <c r="I13" s="53">
        <f t="shared" si="12"/>
        <v>43824</v>
      </c>
      <c r="J13" s="53">
        <f t="shared" si="12"/>
        <v>44190</v>
      </c>
      <c r="K13" s="53">
        <f t="shared" si="12"/>
        <v>44555</v>
      </c>
      <c r="L13" s="53">
        <f t="shared" si="12"/>
        <v>44920</v>
      </c>
      <c r="M13" s="53">
        <f t="shared" si="12"/>
        <v>45285</v>
      </c>
      <c r="N13" s="53">
        <f t="shared" si="12"/>
        <v>45651</v>
      </c>
      <c r="O13" s="53">
        <f t="shared" si="12"/>
        <v>46016</v>
      </c>
      <c r="P13" s="53">
        <f t="shared" si="12"/>
        <v>46381</v>
      </c>
      <c r="Q13" s="53">
        <f t="shared" si="12"/>
        <v>46746</v>
      </c>
      <c r="R13" s="53">
        <f t="shared" si="12"/>
        <v>47112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37"/>
  <sheetViews>
    <sheetView topLeftCell="A13" zoomScale="120" zoomScaleNormal="120" workbookViewId="0">
      <selection activeCell="G30" sqref="G30"/>
    </sheetView>
  </sheetViews>
  <sheetFormatPr defaultRowHeight="15" x14ac:dyDescent="0.25"/>
  <cols>
    <col min="2" max="2" width="10.85546875" bestFit="1" customWidth="1"/>
    <col min="3" max="3" width="10.85546875" customWidth="1"/>
    <col min="4" max="4" width="10.85546875" style="59" customWidth="1"/>
    <col min="9" max="9" width="12.85546875" customWidth="1"/>
    <col min="10" max="10" width="10.42578125" bestFit="1" customWidth="1"/>
    <col min="12" max="12" width="9.7109375" bestFit="1" customWidth="1"/>
    <col min="13" max="13" width="9.28515625" customWidth="1"/>
  </cols>
  <sheetData>
    <row r="1" spans="1:14" x14ac:dyDescent="0.25">
      <c r="A1" s="68"/>
      <c r="B1" s="68"/>
      <c r="C1" s="30" t="s">
        <v>15</v>
      </c>
      <c r="D1" s="30" t="s">
        <v>16</v>
      </c>
      <c r="E1" s="30" t="s">
        <v>17</v>
      </c>
      <c r="F1" s="30" t="s">
        <v>18</v>
      </c>
      <c r="G1" s="30" t="s">
        <v>19</v>
      </c>
      <c r="H1" s="30"/>
      <c r="I1" s="31" t="s">
        <v>20</v>
      </c>
    </row>
    <row r="2" spans="1:14" x14ac:dyDescent="0.25">
      <c r="A2" s="68"/>
      <c r="B2" s="68"/>
      <c r="C2" s="33" t="s">
        <v>22</v>
      </c>
      <c r="D2" s="33" t="s">
        <v>22</v>
      </c>
      <c r="E2" s="33" t="s">
        <v>22</v>
      </c>
      <c r="F2" s="33" t="s">
        <v>22</v>
      </c>
      <c r="G2" s="33" t="s">
        <v>22</v>
      </c>
      <c r="H2" s="33" t="s">
        <v>23</v>
      </c>
      <c r="I2" s="34" t="s">
        <v>24</v>
      </c>
    </row>
    <row r="3" spans="1:14" x14ac:dyDescent="0.25">
      <c r="A3" s="68">
        <v>1</v>
      </c>
      <c r="B3" s="69" t="s">
        <v>62</v>
      </c>
      <c r="C3" s="70">
        <v>31</v>
      </c>
      <c r="D3" s="70">
        <v>9</v>
      </c>
      <c r="E3" s="39">
        <v>3</v>
      </c>
      <c r="F3" s="39">
        <v>2</v>
      </c>
      <c r="G3" s="39">
        <v>1</v>
      </c>
      <c r="H3" s="39">
        <v>2</v>
      </c>
      <c r="I3" s="75">
        <v>14</v>
      </c>
      <c r="J3" s="96"/>
    </row>
    <row r="4" spans="1:14" x14ac:dyDescent="0.25">
      <c r="A4" s="68">
        <v>2</v>
      </c>
      <c r="B4" s="69" t="s">
        <v>63</v>
      </c>
      <c r="C4" s="70">
        <v>28</v>
      </c>
      <c r="D4" s="70">
        <v>8</v>
      </c>
      <c r="E4" s="39">
        <v>3</v>
      </c>
      <c r="F4" s="39">
        <v>1</v>
      </c>
      <c r="G4" s="39">
        <v>1</v>
      </c>
      <c r="H4" s="39">
        <v>0</v>
      </c>
      <c r="I4" s="75">
        <v>15</v>
      </c>
      <c r="J4" s="96"/>
    </row>
    <row r="5" spans="1:14" x14ac:dyDescent="0.25">
      <c r="A5" s="68">
        <v>3</v>
      </c>
      <c r="B5" s="69" t="s">
        <v>64</v>
      </c>
      <c r="C5" s="70">
        <v>31</v>
      </c>
      <c r="D5" s="70">
        <v>9</v>
      </c>
      <c r="E5" s="39">
        <v>3</v>
      </c>
      <c r="F5" s="39">
        <v>0</v>
      </c>
      <c r="G5" s="39">
        <v>1</v>
      </c>
      <c r="H5" s="39">
        <v>0</v>
      </c>
      <c r="I5" s="75">
        <v>18</v>
      </c>
      <c r="J5" s="96"/>
    </row>
    <row r="6" spans="1:14" x14ac:dyDescent="0.25">
      <c r="A6" s="68">
        <v>4</v>
      </c>
      <c r="B6" s="69" t="s">
        <v>65</v>
      </c>
      <c r="C6" s="70">
        <v>30</v>
      </c>
      <c r="D6" s="70">
        <v>9</v>
      </c>
      <c r="E6" s="39">
        <v>2</v>
      </c>
      <c r="F6" s="39">
        <v>0</v>
      </c>
      <c r="G6" s="39">
        <v>1</v>
      </c>
      <c r="H6" s="39">
        <v>1</v>
      </c>
      <c r="I6" s="75">
        <v>17</v>
      </c>
      <c r="J6" s="96"/>
      <c r="L6" s="60"/>
      <c r="N6" s="63"/>
    </row>
    <row r="7" spans="1:14" x14ac:dyDescent="0.25">
      <c r="A7" s="68">
        <v>5</v>
      </c>
      <c r="B7" s="69" t="s">
        <v>66</v>
      </c>
      <c r="C7" s="70">
        <v>31</v>
      </c>
      <c r="D7" s="70">
        <v>9</v>
      </c>
      <c r="E7" s="39">
        <v>2</v>
      </c>
      <c r="F7" s="39">
        <v>0</v>
      </c>
      <c r="G7" s="39">
        <v>-1</v>
      </c>
      <c r="H7" s="39">
        <v>1</v>
      </c>
      <c r="I7" s="75">
        <v>20</v>
      </c>
      <c r="J7" s="96"/>
      <c r="L7" s="60"/>
      <c r="N7" s="63"/>
    </row>
    <row r="8" spans="1:14" x14ac:dyDescent="0.25">
      <c r="A8" s="68">
        <v>6</v>
      </c>
      <c r="B8" s="69" t="s">
        <v>67</v>
      </c>
      <c r="C8" s="70">
        <v>30</v>
      </c>
      <c r="D8" s="70">
        <v>9</v>
      </c>
      <c r="E8" s="39">
        <v>3</v>
      </c>
      <c r="F8" s="39">
        <v>0</v>
      </c>
      <c r="G8" s="39">
        <v>-1</v>
      </c>
      <c r="H8" s="39">
        <v>0</v>
      </c>
      <c r="I8" s="75">
        <v>19</v>
      </c>
      <c r="J8" s="96"/>
      <c r="L8" s="63"/>
      <c r="N8" s="64"/>
    </row>
    <row r="9" spans="1:14" x14ac:dyDescent="0.25">
      <c r="A9" s="68">
        <v>7</v>
      </c>
      <c r="B9" s="69" t="s">
        <v>68</v>
      </c>
      <c r="C9" s="70">
        <v>31</v>
      </c>
      <c r="D9" s="70">
        <v>9</v>
      </c>
      <c r="E9" s="39">
        <v>4</v>
      </c>
      <c r="F9" s="39">
        <v>0</v>
      </c>
      <c r="G9" s="39">
        <v>-1</v>
      </c>
      <c r="H9" s="39">
        <v>1</v>
      </c>
      <c r="I9" s="75">
        <v>18</v>
      </c>
      <c r="J9" s="96"/>
    </row>
    <row r="10" spans="1:14" x14ac:dyDescent="0.25">
      <c r="A10" s="68">
        <v>8</v>
      </c>
      <c r="B10" s="69" t="s">
        <v>69</v>
      </c>
      <c r="C10" s="70">
        <v>31</v>
      </c>
      <c r="D10" s="70">
        <v>9</v>
      </c>
      <c r="E10" s="39">
        <v>3</v>
      </c>
      <c r="F10" s="39">
        <v>0</v>
      </c>
      <c r="G10" s="39">
        <v>-2</v>
      </c>
      <c r="H10" s="39">
        <v>0</v>
      </c>
      <c r="I10" s="75">
        <v>21</v>
      </c>
      <c r="J10" s="96"/>
    </row>
    <row r="11" spans="1:14" x14ac:dyDescent="0.25">
      <c r="A11" s="68">
        <v>9</v>
      </c>
      <c r="B11" s="69" t="s">
        <v>70</v>
      </c>
      <c r="C11" s="70">
        <v>30</v>
      </c>
      <c r="D11" s="70">
        <v>9</v>
      </c>
      <c r="E11" s="39">
        <v>3</v>
      </c>
      <c r="F11" s="39">
        <v>0</v>
      </c>
      <c r="G11" s="39">
        <v>0</v>
      </c>
      <c r="H11" s="39">
        <v>1</v>
      </c>
      <c r="I11" s="75">
        <v>17</v>
      </c>
      <c r="J11" s="96"/>
    </row>
    <row r="12" spans="1:14" x14ac:dyDescent="0.25">
      <c r="A12" s="68">
        <v>10</v>
      </c>
      <c r="B12" s="69" t="s">
        <v>71</v>
      </c>
      <c r="C12" s="70">
        <v>31</v>
      </c>
      <c r="D12" s="70">
        <v>9</v>
      </c>
      <c r="E12" s="39">
        <v>2</v>
      </c>
      <c r="F12" s="39">
        <v>0</v>
      </c>
      <c r="G12" s="39">
        <v>0</v>
      </c>
      <c r="H12" s="39">
        <v>1</v>
      </c>
      <c r="I12" s="75">
        <v>19</v>
      </c>
      <c r="J12" s="96"/>
    </row>
    <row r="13" spans="1:14" x14ac:dyDescent="0.25">
      <c r="A13" s="68">
        <v>11</v>
      </c>
      <c r="B13" s="69" t="s">
        <v>72</v>
      </c>
      <c r="C13" s="70">
        <v>30</v>
      </c>
      <c r="D13" s="70">
        <v>9</v>
      </c>
      <c r="E13" s="39">
        <v>2</v>
      </c>
      <c r="F13" s="39">
        <v>0</v>
      </c>
      <c r="G13" s="39">
        <v>0</v>
      </c>
      <c r="H13" s="39">
        <v>3</v>
      </c>
      <c r="I13" s="75">
        <v>16</v>
      </c>
      <c r="J13" s="96"/>
    </row>
    <row r="14" spans="1:14" x14ac:dyDescent="0.25">
      <c r="A14" s="68">
        <v>12</v>
      </c>
      <c r="B14" s="69" t="s">
        <v>73</v>
      </c>
      <c r="C14" s="70">
        <v>31</v>
      </c>
      <c r="D14" s="70">
        <v>9</v>
      </c>
      <c r="E14" s="39">
        <v>2</v>
      </c>
      <c r="F14" s="39">
        <v>1</v>
      </c>
      <c r="G14" s="39">
        <v>1</v>
      </c>
      <c r="H14" s="39">
        <v>2</v>
      </c>
      <c r="I14" s="75">
        <v>16</v>
      </c>
      <c r="J14" s="96"/>
    </row>
    <row r="15" spans="1:14" x14ac:dyDescent="0.25">
      <c r="A15" s="68"/>
      <c r="B15" s="69"/>
      <c r="C15" s="69"/>
      <c r="D15" s="71"/>
      <c r="E15" s="39"/>
      <c r="F15" s="39"/>
      <c r="G15" s="39"/>
      <c r="H15" s="39"/>
      <c r="I15" s="68"/>
      <c r="J15" s="60"/>
    </row>
    <row r="16" spans="1:14" x14ac:dyDescent="0.25">
      <c r="B16" s="60"/>
      <c r="C16" s="60"/>
      <c r="D16" s="61"/>
    </row>
    <row r="17" spans="1:12" x14ac:dyDescent="0.25">
      <c r="B17" s="60"/>
      <c r="C17" s="60"/>
      <c r="D17" s="61"/>
      <c r="J17" s="67"/>
      <c r="K17" s="67"/>
      <c r="L17" s="67"/>
    </row>
    <row r="18" spans="1:12" x14ac:dyDescent="0.25">
      <c r="B18" s="60"/>
      <c r="C18" s="60"/>
      <c r="D18" s="61"/>
      <c r="J18" s="67"/>
      <c r="K18" s="67"/>
      <c r="L18" s="67"/>
    </row>
    <row r="19" spans="1:12" x14ac:dyDescent="0.25">
      <c r="A19" s="97">
        <f>IF(LEN('12 MO. Road'!A19)=0,"",VLOOKUP(MONTH('12 MO. Road'!A19),'DO NOT TOUCH'!$A$3:$H$14,3,FALSE))</f>
        <v>30</v>
      </c>
      <c r="B19" s="97">
        <f>IF(LEN('12 MO. Road'!A19)=0,"",VLOOKUP(MONTH('12 MO. Road'!A19),'DO NOT TOUCH'!$A$3:$H$14,5,FALSE))</f>
        <v>3</v>
      </c>
      <c r="C19" s="73">
        <f>IF(LEN('12 MO. Road'!A19)=0,"",VLOOKUP(MONTH('12 MO. Road'!A19),'DO NOT TOUCH'!$A$3:$H$14,6,FALSE))</f>
        <v>0</v>
      </c>
      <c r="D19" s="74">
        <f>IF(LEN('12 MO. Road'!A19)=0,"",VLOOKUP(MONTH('12 MO. Road'!A19),'DO NOT TOUCH'!$A$3:$H$14,7,FALSE))</f>
        <v>-1</v>
      </c>
      <c r="J19" s="67"/>
      <c r="K19" s="67"/>
      <c r="L19" s="67"/>
    </row>
    <row r="20" spans="1:12" x14ac:dyDescent="0.25">
      <c r="A20" s="97">
        <f>IF(LEN('12 MO. Road'!A20)=0,"",VLOOKUP(MONTH('12 MO. Road'!A20),'DO NOT TOUCH'!$A$3:$H$14,3,FALSE))</f>
        <v>31</v>
      </c>
      <c r="B20" s="97">
        <f>IF(LEN('12 MO. Road'!A20)=0,"",VLOOKUP(MONTH('12 MO. Road'!A20),'DO NOT TOUCH'!$A$3:$H$14,5,FALSE))</f>
        <v>4</v>
      </c>
      <c r="C20" s="73">
        <f>IF(LEN('12 MO. Road'!A20)=0,"",VLOOKUP(MONTH('12 MO. Road'!A20),'DO NOT TOUCH'!$A$3:$H$14,6,FALSE))</f>
        <v>0</v>
      </c>
      <c r="D20" s="74">
        <f>IF(LEN('12 MO. Road'!A20)=0,"",VLOOKUP(MONTH('12 MO. Road'!A20),'DO NOT TOUCH'!$A$3:$H$14,7,FALSE))</f>
        <v>-1</v>
      </c>
    </row>
    <row r="21" spans="1:12" x14ac:dyDescent="0.25">
      <c r="A21" s="97">
        <f>IF(LEN('12 MO. Road'!A21)=0,"",VLOOKUP(MONTH('12 MO. Road'!A21),'DO NOT TOUCH'!$A$3:$H$14,3,FALSE))</f>
        <v>31</v>
      </c>
      <c r="B21" s="97">
        <f>IF(LEN('12 MO. Road'!A21)=0,"",VLOOKUP(MONTH('12 MO. Road'!A21),'DO NOT TOUCH'!$A$3:$H$14,5,FALSE))</f>
        <v>3</v>
      </c>
      <c r="C21" s="73">
        <f>IF(LEN('12 MO. Road'!A21)=0,"",VLOOKUP(MONTH('12 MO. Road'!A21),'DO NOT TOUCH'!$A$3:$H$14,6,FALSE))</f>
        <v>0</v>
      </c>
      <c r="D21" s="74">
        <f>IF(LEN('12 MO. Road'!A21)=0,"",VLOOKUP(MONTH('12 MO. Road'!A21),'DO NOT TOUCH'!$A$3:$H$14,7,FALSE))</f>
        <v>-2</v>
      </c>
    </row>
    <row r="22" spans="1:12" x14ac:dyDescent="0.25">
      <c r="A22" s="97">
        <f>IF(LEN('12 MO. Road'!A22)=0,"",VLOOKUP(MONTH('12 MO. Road'!A22),'DO NOT TOUCH'!$A$3:$H$14,3,FALSE))</f>
        <v>30</v>
      </c>
      <c r="B22" s="97">
        <f>IF(LEN('12 MO. Road'!A22)=0,"",VLOOKUP(MONTH('12 MO. Road'!A22),'DO NOT TOUCH'!$A$3:$H$14,5,FALSE))</f>
        <v>3</v>
      </c>
      <c r="C22" s="73">
        <f>IF(LEN('12 MO. Road'!A22)=0,"",VLOOKUP(MONTH('12 MO. Road'!A22),'DO NOT TOUCH'!$A$3:$H$14,6,FALSE))</f>
        <v>0</v>
      </c>
      <c r="D22" s="74">
        <f>IF(LEN('12 MO. Road'!A22)=0,"",VLOOKUP(MONTH('12 MO. Road'!A22),'DO NOT TOUCH'!$A$3:$H$14,7,FALSE))</f>
        <v>0</v>
      </c>
    </row>
    <row r="23" spans="1:12" x14ac:dyDescent="0.25">
      <c r="A23" s="97">
        <f>IF(LEN('12 MO. Road'!A23)=0,"",VLOOKUP(MONTH('12 MO. Road'!A23),'DO NOT TOUCH'!$A$3:$H$14,3,FALSE))</f>
        <v>31</v>
      </c>
      <c r="B23" s="97">
        <f>IF(LEN('12 MO. Road'!A23)=0,"",VLOOKUP(MONTH('12 MO. Road'!A23),'DO NOT TOUCH'!$A$3:$H$14,5,FALSE))</f>
        <v>2</v>
      </c>
      <c r="C23" s="73">
        <f>IF(LEN('12 MO. Road'!A23)=0,"",VLOOKUP(MONTH('12 MO. Road'!A23),'DO NOT TOUCH'!$A$3:$H$14,6,FALSE))</f>
        <v>0</v>
      </c>
      <c r="D23" s="74">
        <f>IF(LEN('12 MO. Road'!A23)=0,"",VLOOKUP(MONTH('12 MO. Road'!A23),'DO NOT TOUCH'!$A$3:$H$14,7,FALSE))</f>
        <v>0</v>
      </c>
    </row>
    <row r="24" spans="1:12" x14ac:dyDescent="0.25">
      <c r="A24" s="97">
        <f>IF(LEN('12 MO. Road'!A24)=0,"",VLOOKUP(MONTH('12 MO. Road'!A24),'DO NOT TOUCH'!$A$3:$H$14,3,FALSE))</f>
        <v>30</v>
      </c>
      <c r="B24" s="97">
        <f>IF(LEN('12 MO. Road'!A24)=0,"",VLOOKUP(MONTH('12 MO. Road'!A24),'DO NOT TOUCH'!$A$3:$H$14,5,FALSE))</f>
        <v>2</v>
      </c>
      <c r="C24" s="73">
        <f>IF(LEN('12 MO. Road'!A24)=0,"",VLOOKUP(MONTH('12 MO. Road'!A24),'DO NOT TOUCH'!$A$3:$H$14,6,FALSE))</f>
        <v>0</v>
      </c>
      <c r="D24" s="74">
        <f>IF(LEN('12 MO. Road'!A24)=0,"",VLOOKUP(MONTH('12 MO. Road'!A24),'DO NOT TOUCH'!$A$3:$H$14,7,FALSE))</f>
        <v>0</v>
      </c>
    </row>
    <row r="25" spans="1:12" x14ac:dyDescent="0.25">
      <c r="A25" s="97">
        <f>IF(LEN('12 MO. Road'!A25)=0,"",VLOOKUP(MONTH('12 MO. Road'!A25),'DO NOT TOUCH'!$A$3:$H$14,3,FALSE))</f>
        <v>31</v>
      </c>
      <c r="B25" s="97">
        <f>IF(LEN('12 MO. Road'!A25)=0,"",VLOOKUP(MONTH('12 MO. Road'!A25),'DO NOT TOUCH'!$A$3:$H$14,5,FALSE))</f>
        <v>2</v>
      </c>
      <c r="C25" s="73">
        <f>IF(LEN('12 MO. Road'!A25)=0,"",VLOOKUP(MONTH('12 MO. Road'!A25),'DO NOT TOUCH'!$A$3:$H$14,6,FALSE))</f>
        <v>1</v>
      </c>
      <c r="D25" s="74">
        <f>IF(LEN('12 MO. Road'!A25)=0,"",VLOOKUP(MONTH('12 MO. Road'!A25),'DO NOT TOUCH'!$A$3:$H$14,7,FALSE))</f>
        <v>1</v>
      </c>
    </row>
    <row r="26" spans="1:12" x14ac:dyDescent="0.25">
      <c r="A26" s="97">
        <f>IF(LEN('12 MO. Road'!A26)=0,"",VLOOKUP(MONTH('12 MO. Road'!A26),'DO NOT TOUCH'!$A$3:$H$14,3,FALSE))</f>
        <v>31</v>
      </c>
      <c r="B26" s="97">
        <f>IF(LEN('12 MO. Road'!A26)=0,"",VLOOKUP(MONTH('12 MO. Road'!A26),'DO NOT TOUCH'!$A$3:$H$14,5,FALSE))</f>
        <v>3</v>
      </c>
      <c r="C26" s="73">
        <f>IF(LEN('12 MO. Road'!A26)=0,"",VLOOKUP(MONTH('12 MO. Road'!A26),'DO NOT TOUCH'!$A$3:$H$14,6,FALSE))</f>
        <v>2</v>
      </c>
      <c r="D26" s="74">
        <f>IF(LEN('12 MO. Road'!A26)=0,"",VLOOKUP(MONTH('12 MO. Road'!A26),'DO NOT TOUCH'!$A$3:$H$14,7,FALSE))</f>
        <v>1</v>
      </c>
    </row>
    <row r="27" spans="1:12" x14ac:dyDescent="0.25">
      <c r="A27" s="97">
        <f>IF(LEN('12 MO. Road'!A27)=0,"",VLOOKUP(MONTH('12 MO. Road'!A27),'DO NOT TOUCH'!$A$3:$H$14,3,FALSE))</f>
        <v>28</v>
      </c>
      <c r="B27" s="97">
        <f>IF(LEN('12 MO. Road'!A27)=0,"",VLOOKUP(MONTH('12 MO. Road'!A27),'DO NOT TOUCH'!$A$3:$H$14,5,FALSE))</f>
        <v>3</v>
      </c>
      <c r="C27" s="73">
        <f>IF(LEN('12 MO. Road'!A27)=0,"",VLOOKUP(MONTH('12 MO. Road'!A27),'DO NOT TOUCH'!$A$3:$H$14,6,FALSE))</f>
        <v>1</v>
      </c>
      <c r="D27" s="74">
        <f>IF(LEN('12 MO. Road'!A27)=0,"",VLOOKUP(MONTH('12 MO. Road'!A27),'DO NOT TOUCH'!$A$3:$H$14,7,FALSE))</f>
        <v>1</v>
      </c>
    </row>
    <row r="28" spans="1:12" x14ac:dyDescent="0.25">
      <c r="A28" s="97">
        <f>IF(LEN('12 MO. Road'!A28)=0,"",VLOOKUP(MONTH('12 MO. Road'!A28),'DO NOT TOUCH'!$A$3:$H$14,3,FALSE))</f>
        <v>31</v>
      </c>
      <c r="B28" s="97">
        <f>IF(LEN('12 MO. Road'!A28)=0,"",VLOOKUP(MONTH('12 MO. Road'!A28),'DO NOT TOUCH'!$A$3:$H$14,5,FALSE))</f>
        <v>3</v>
      </c>
      <c r="C28" s="73">
        <f>IF(LEN('12 MO. Road'!A28)=0,"",VLOOKUP(MONTH('12 MO. Road'!A28),'DO NOT TOUCH'!$A$3:$H$14,6,FALSE))</f>
        <v>0</v>
      </c>
      <c r="D28" s="74">
        <f>IF(LEN('12 MO. Road'!A28)=0,"",VLOOKUP(MONTH('12 MO. Road'!A28),'DO NOT TOUCH'!$A$3:$H$14,7,FALSE))</f>
        <v>1</v>
      </c>
    </row>
    <row r="29" spans="1:12" x14ac:dyDescent="0.25">
      <c r="A29" s="97">
        <f>IF(LEN('12 MO. Road'!A29)=0,"",VLOOKUP(MONTH('12 MO. Road'!A29),'DO NOT TOUCH'!$A$3:$H$14,3,FALSE))</f>
        <v>30</v>
      </c>
      <c r="B29" s="97">
        <f>IF(LEN('12 MO. Road'!A29)=0,"",VLOOKUP(MONTH('12 MO. Road'!A29),'DO NOT TOUCH'!$A$3:$H$14,5,FALSE))</f>
        <v>2</v>
      </c>
      <c r="C29" s="73">
        <f>IF(LEN('12 MO. Road'!A29)=0,"",VLOOKUP(MONTH('12 MO. Road'!A29),'DO NOT TOUCH'!$A$3:$H$14,6,FALSE))</f>
        <v>0</v>
      </c>
      <c r="D29" s="74">
        <f>IF(LEN('12 MO. Road'!A29)=0,"",VLOOKUP(MONTH('12 MO. Road'!A29),'DO NOT TOUCH'!$A$3:$H$14,7,FALSE))</f>
        <v>1</v>
      </c>
    </row>
    <row r="30" spans="1:12" x14ac:dyDescent="0.25">
      <c r="A30" s="97">
        <f>IF(LEN('12 MO. Road'!A30)=0,"",VLOOKUP(MONTH('12 MO. Road'!A30),'DO NOT TOUCH'!$A$3:$H$14,3,FALSE))</f>
        <v>31</v>
      </c>
      <c r="B30" s="97">
        <f>IF(LEN('12 MO. Road'!A30)=0,"",VLOOKUP(MONTH('12 MO. Road'!A30),'DO NOT TOUCH'!$A$3:$H$14,5,FALSE))</f>
        <v>2</v>
      </c>
      <c r="C30" s="73">
        <f>IF(LEN('12 MO. Road'!A30)=0,"",VLOOKUP(MONTH('12 MO. Road'!A30),'DO NOT TOUCH'!$A$3:$H$14,6,FALSE))</f>
        <v>0</v>
      </c>
      <c r="D30" s="74">
        <f>IF(LEN('12 MO. Road'!A30)=0,"",VLOOKUP(MONTH('12 MO. Road'!A30),'DO NOT TOUCH'!$A$3:$H$14,7,FALSE))</f>
        <v>-1</v>
      </c>
    </row>
    <row r="31" spans="1:12" x14ac:dyDescent="0.25">
      <c r="A31" s="97">
        <f>IF(LEN('12 MO. Road'!A31)=0,"",VLOOKUP(MONTH('12 MO. Road'!A31),'DO NOT TOUCH'!$A$3:$H$14,3,FALSE))</f>
        <v>30</v>
      </c>
      <c r="B31" s="97">
        <f>IF(LEN('12 MO. Road'!A31)=0,"",VLOOKUP(MONTH('12 MO. Road'!A31),'DO NOT TOUCH'!$A$3:$H$14,5,FALSE))</f>
        <v>3</v>
      </c>
      <c r="C31" s="73">
        <f>IF(LEN('12 MO. Road'!A31)=0,"",VLOOKUP(MONTH('12 MO. Road'!A31),'DO NOT TOUCH'!$A$3:$H$14,6,FALSE))</f>
        <v>0</v>
      </c>
      <c r="D31" s="74">
        <f>IF(LEN('12 MO. Road'!A31)=0,"",VLOOKUP(MONTH('12 MO. Road'!A31),'DO NOT TOUCH'!$A$3:$H$14,7,FALSE))</f>
        <v>-1</v>
      </c>
    </row>
    <row r="32" spans="1:12" x14ac:dyDescent="0.25">
      <c r="A32" s="97">
        <f>IF(LEN('12 MO. Road'!A32)=0,"",VLOOKUP(MONTH('12 MO. Road'!A32),'DO NOT TOUCH'!$A$3:$H$14,3,FALSE))</f>
        <v>31</v>
      </c>
      <c r="B32" s="97">
        <f>IF(LEN('12 MO. Road'!A32)=0,"",VLOOKUP(MONTH('12 MO. Road'!A32),'DO NOT TOUCH'!$A$3:$H$14,5,FALSE))</f>
        <v>4</v>
      </c>
      <c r="C32" s="73">
        <f>IF(LEN('12 MO. Road'!A32)=0,"",VLOOKUP(MONTH('12 MO. Road'!A32),'DO NOT TOUCH'!$A$3:$H$14,6,FALSE))</f>
        <v>0</v>
      </c>
      <c r="D32" s="74">
        <f>IF(LEN('12 MO. Road'!A32)=0,"",VLOOKUP(MONTH('12 MO. Road'!A32),'DO NOT TOUCH'!$A$3:$H$14,7,FALSE))</f>
        <v>-1</v>
      </c>
    </row>
    <row r="33" spans="1:4" x14ac:dyDescent="0.25">
      <c r="A33" s="97">
        <f>IF(LEN('12 MO. Road'!A33)=0,"",VLOOKUP(MONTH('12 MO. Road'!A33),'DO NOT TOUCH'!$A$3:$H$14,3,FALSE))</f>
        <v>31</v>
      </c>
      <c r="B33" s="97">
        <f>IF(LEN('12 MO. Road'!A33)=0,"",VLOOKUP(MONTH('12 MO. Road'!A33),'DO NOT TOUCH'!$A$3:$H$14,5,FALSE))</f>
        <v>3</v>
      </c>
      <c r="C33" s="73">
        <f>IF(LEN('12 MO. Road'!A33)=0,"",VLOOKUP(MONTH('12 MO. Road'!A33),'DO NOT TOUCH'!$A$3:$H$14,6,FALSE))</f>
        <v>0</v>
      </c>
      <c r="D33" s="74">
        <f>IF(LEN('12 MO. Road'!A33)=0,"",VLOOKUP(MONTH('12 MO. Road'!A33),'DO NOT TOUCH'!$A$3:$H$14,7,FALSE))</f>
        <v>-2</v>
      </c>
    </row>
    <row r="34" spans="1:4" x14ac:dyDescent="0.25">
      <c r="A34" s="97">
        <f>IF(LEN('12 MO. Road'!A34)=0,"",VLOOKUP(MONTH('12 MO. Road'!A34),'DO NOT TOUCH'!$A$3:$H$14,3,FALSE))</f>
        <v>30</v>
      </c>
      <c r="B34" s="97">
        <f>IF(LEN('12 MO. Road'!A34)=0,"",VLOOKUP(MONTH('12 MO. Road'!A34),'DO NOT TOUCH'!$A$3:$H$14,5,FALSE))</f>
        <v>3</v>
      </c>
      <c r="C34" s="73">
        <f>IF(LEN('12 MO. Road'!A34)=0,"",VLOOKUP(MONTH('12 MO. Road'!A34),'DO NOT TOUCH'!$A$3:$H$14,6,FALSE))</f>
        <v>0</v>
      </c>
      <c r="D34" s="74">
        <f>IF(LEN('12 MO. Road'!A34)=0,"",VLOOKUP(MONTH('12 MO. Road'!A34),'DO NOT TOUCH'!$A$3:$H$14,7,FALSE))</f>
        <v>0</v>
      </c>
    </row>
    <row r="35" spans="1:4" x14ac:dyDescent="0.25">
      <c r="A35" s="56"/>
      <c r="B35" s="1"/>
      <c r="C35" s="1"/>
      <c r="D35" s="1"/>
    </row>
    <row r="36" spans="1:4" x14ac:dyDescent="0.25">
      <c r="A36" s="56">
        <f>+'12 MO. Road'!C49-(SUM('12 MO. Road'!C50:C55))</f>
        <v>-1</v>
      </c>
      <c r="B36" s="1"/>
      <c r="C36" s="1"/>
      <c r="D36" s="1"/>
    </row>
    <row r="37" spans="1:4" x14ac:dyDescent="0.25">
      <c r="A37" s="1"/>
      <c r="B37" s="1"/>
      <c r="C37" s="1"/>
      <c r="D37" s="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12 MO. Road</vt:lpstr>
      <vt:lpstr>Holidays</vt:lpstr>
      <vt:lpstr>DO NOT TOUCH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Thacker, Dennis</dc:creator>
  <cp:lastModifiedBy>Thacker, Dennis</cp:lastModifiedBy>
  <cp:lastPrinted>2019-06-05T18:01:17Z</cp:lastPrinted>
  <dcterms:created xsi:type="dcterms:W3CDTF">2019-05-09T13:40:38Z</dcterms:created>
  <dcterms:modified xsi:type="dcterms:W3CDTF">2019-06-06T15:05:46Z</dcterms:modified>
</cp:coreProperties>
</file>