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jsbilas-my.sharepoint.com/personal/grethe_solberg_mjosbil_no/Documents/Grethe/Temp/"/>
    </mc:Choice>
  </mc:AlternateContent>
  <xr:revisionPtr revIDLastSave="17" documentId="8_{9FC9D9D8-1C5C-4DA0-A66E-C9CDCFFE6056}" xr6:coauthVersionLast="47" xr6:coauthVersionMax="47" xr10:uidLastSave="{6579D12A-127E-4596-96B1-DD28E94297D7}"/>
  <bookViews>
    <workbookView xWindow="-38520" yWindow="1365" windowWidth="38640" windowHeight="21120" tabRatio="602" xr2:uid="{CC365769-554D-402A-B5FA-44A6109068B4}"/>
  </bookViews>
  <sheets>
    <sheet name="ark 1" sheetId="1" r:id="rId1"/>
  </sheets>
  <definedNames>
    <definedName name="_xlnm._FilterDatabase" localSheetId="0" hidden="1">'ark 1'!$A$6:$AS$11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1" l="1"/>
  <c r="E11" i="1" s="1"/>
  <c r="S11" i="1"/>
  <c r="Z11" i="1"/>
  <c r="AH11" i="1"/>
  <c r="AQ11" i="1"/>
  <c r="AT11" i="1"/>
  <c r="M11" i="1" s="1"/>
  <c r="AU11" i="1"/>
  <c r="AQ6" i="1"/>
  <c r="AT10" i="1" l="1"/>
  <c r="S4" i="1" l="1"/>
  <c r="S7" i="1"/>
  <c r="S9" i="1"/>
  <c r="T9" i="1"/>
  <c r="T8" i="1"/>
  <c r="T7" i="1"/>
  <c r="AT6" i="1" l="1"/>
  <c r="AF10" i="1" l="1"/>
  <c r="AO10" i="1"/>
  <c r="AE8" i="1"/>
  <c r="AE9" i="1"/>
  <c r="AE7" i="1"/>
  <c r="AE10" i="1" l="1"/>
  <c r="W8" i="1" l="1"/>
  <c r="Z8" i="1" s="1"/>
  <c r="W9" i="1"/>
  <c r="Z9" i="1" s="1"/>
  <c r="W7" i="1"/>
  <c r="Z7" i="1" s="1"/>
  <c r="Z10" i="1" l="1"/>
  <c r="AN10" i="1" l="1"/>
  <c r="F12" i="1"/>
  <c r="I9" i="1"/>
  <c r="AK9" i="1" s="1"/>
  <c r="I8" i="1"/>
  <c r="I7" i="1"/>
  <c r="AK7" i="1" s="1"/>
  <c r="V6" i="1" l="1"/>
  <c r="M7" i="1" l="1"/>
  <c r="M9" i="1"/>
  <c r="K8" i="1" l="1"/>
  <c r="AK8" i="1" l="1"/>
  <c r="AK10" i="1" s="1"/>
  <c r="S8" i="1"/>
  <c r="M8" i="1"/>
  <c r="K6" i="1"/>
  <c r="E6" i="1" l="1"/>
  <c r="AP8" i="1" s="1"/>
  <c r="S6" i="1"/>
  <c r="L9" i="1"/>
  <c r="L7" i="1"/>
  <c r="L8" i="1"/>
  <c r="M6" i="1"/>
  <c r="AP7" i="1" l="1"/>
  <c r="AP9" i="1"/>
  <c r="AP10" i="1"/>
  <c r="AG8" i="1"/>
  <c r="Y8" i="1"/>
  <c r="AH8" i="1"/>
  <c r="AI8" i="1"/>
  <c r="AA8" i="1"/>
  <c r="AJ8" i="1"/>
  <c r="AB8" i="1"/>
  <c r="AC8" i="1"/>
  <c r="AL8" i="1"/>
  <c r="AD8" i="1"/>
  <c r="Y7" i="1"/>
  <c r="AL7" i="1"/>
  <c r="AJ7" i="1"/>
  <c r="AI7" i="1"/>
  <c r="AH7" i="1"/>
  <c r="AG7" i="1"/>
  <c r="AD7" i="1"/>
  <c r="AB7" i="1"/>
  <c r="AA7" i="1"/>
  <c r="AC7" i="1"/>
  <c r="AL9" i="1"/>
  <c r="AC9" i="1"/>
  <c r="AG9" i="1"/>
  <c r="AA9" i="1"/>
  <c r="AH9" i="1"/>
  <c r="Y9" i="1"/>
  <c r="AD9" i="1"/>
  <c r="AI9" i="1"/>
  <c r="AJ9" i="1"/>
  <c r="AB9" i="1"/>
  <c r="AL10" i="1" l="1"/>
  <c r="AD10" i="1"/>
  <c r="AI10" i="1"/>
  <c r="AJ10" i="1"/>
  <c r="AC10" i="1"/>
  <c r="AA10" i="1"/>
  <c r="AB10" i="1"/>
  <c r="AG10" i="1"/>
  <c r="Y10" i="1"/>
  <c r="AH10" i="1"/>
  <c r="AR9" i="1" l="1"/>
  <c r="AS9" i="1" s="1"/>
  <c r="AU9" i="1" s="1"/>
  <c r="AR8" i="1"/>
  <c r="AS8" i="1" s="1"/>
  <c r="AU8" i="1" s="1"/>
  <c r="AU10" i="1"/>
  <c r="AS10" i="1"/>
  <c r="AQ10" i="1"/>
  <c r="AU6" i="1"/>
  <c r="AU7" i="1"/>
  <c r="AS7" i="1"/>
  <c r="AR10" i="1"/>
  <c r="AQ7" i="1"/>
  <c r="AR7" i="1"/>
  <c r="AM8" i="1"/>
  <c r="AM9" i="1"/>
  <c r="AM7" i="1"/>
  <c r="AM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Jens Petter</author>
  </authors>
  <commentList>
    <comment ref="P6" authorId="0" shapeId="0" xr:uid="{F2047FDE-45D6-48ED-8228-680A22DB2069}">
      <text>
        <r>
          <rPr>
            <b/>
            <sz val="9"/>
            <color indexed="81"/>
            <rFont val="Tahoma"/>
            <family val="2"/>
          </rPr>
          <t>Jens Petter:</t>
        </r>
        <r>
          <rPr>
            <sz val="9"/>
            <color indexed="81"/>
            <rFont val="Tahoma"/>
            <family val="2"/>
          </rPr>
          <t xml:space="preserve">
Jens Petter:
Elbilladere belastes Fjelldal Bilutleie 100 %, og trekkes fra grunnlag til fordeling: 
2023: Kw/T 9655
2024: Ikke mottatt</t>
        </r>
      </text>
    </comment>
    <comment ref="AE6" authorId="0" shapeId="0" xr:uid="{295C34F8-B74A-4B6A-B53D-BFFE0EA5EDD0}">
      <text>
        <r>
          <rPr>
            <b/>
            <sz val="9"/>
            <color indexed="81"/>
            <rFont val="Tahoma"/>
            <family val="2"/>
          </rPr>
          <t>Jens Petter:</t>
        </r>
        <r>
          <rPr>
            <sz val="9"/>
            <color indexed="81"/>
            <rFont val="Tahoma"/>
            <family val="2"/>
          </rPr>
          <t xml:space="preserve">
Forbruk el. bil ladere AVIS belastes Fjelldal Bilutleie 100 %, og trekkes fra grunnlag til fordeling: 
2023: Kw/T 9655</t>
        </r>
      </text>
    </comment>
    <comment ref="E8" authorId="0" shapeId="0" xr:uid="{591D0428-8E47-43D8-B946-552DFDB8C4C8}">
      <text>
        <r>
          <rPr>
            <b/>
            <sz val="9"/>
            <color indexed="81"/>
            <rFont val="Tahoma"/>
            <family val="2"/>
          </rPr>
          <t>Jens Petter:</t>
        </r>
        <r>
          <rPr>
            <sz val="9"/>
            <color indexed="81"/>
            <rFont val="Tahoma"/>
            <family val="2"/>
          </rPr>
          <t xml:space="preserve">
Avtale om å betale endring i e.skatt fra leieavtale 2020, = + 50 %
</t>
        </r>
      </text>
    </comment>
  </commentList>
</comments>
</file>

<file path=xl/sharedStrings.xml><?xml version="1.0" encoding="utf-8"?>
<sst xmlns="http://schemas.openxmlformats.org/spreadsheetml/2006/main" count="65" uniqueCount="60">
  <si>
    <t xml:space="preserve"> </t>
  </si>
  <si>
    <t>Leietakere</t>
  </si>
  <si>
    <t>ID lokale</t>
  </si>
  <si>
    <t>Avgift</t>
  </si>
  <si>
    <t>Leietid</t>
  </si>
  <si>
    <t>Areal</t>
  </si>
  <si>
    <t>Organisasjonsnr.:</t>
  </si>
  <si>
    <t>pliktig</t>
  </si>
  <si>
    <t>Sum</t>
  </si>
  <si>
    <t>ja</t>
  </si>
  <si>
    <t>6 mnd løpende</t>
  </si>
  <si>
    <t>Nei</t>
  </si>
  <si>
    <t>Thomasdalen 11</t>
  </si>
  <si>
    <t>T101</t>
  </si>
  <si>
    <t>T102 (T11)</t>
  </si>
  <si>
    <t>Thomasdalen 9</t>
  </si>
  <si>
    <t>Felleskostnader MM-Eiendom AS</t>
  </si>
  <si>
    <t>Husleie</t>
  </si>
  <si>
    <t>Strøm</t>
  </si>
  <si>
    <t>Forbruk</t>
  </si>
  <si>
    <t>Kostnad</t>
  </si>
  <si>
    <t>V/A</t>
  </si>
  <si>
    <t>Øvrig FU</t>
  </si>
  <si>
    <t>Drift og serviceavtaler</t>
  </si>
  <si>
    <t>VA (Adaptic)</t>
  </si>
  <si>
    <t>Avfall</t>
  </si>
  <si>
    <t>Elkontroll</t>
  </si>
  <si>
    <t>Brann-kontroll</t>
  </si>
  <si>
    <t>Ventilasjon</t>
  </si>
  <si>
    <t>El.forbruk (adaptic)</t>
  </si>
  <si>
    <t>Vask/renhold</t>
  </si>
  <si>
    <t>Snørydding/ strøing/ soping</t>
  </si>
  <si>
    <t>Rep. Vedlh. Inne</t>
  </si>
  <si>
    <t>Rep. Vedlh. Tekn. Anl.</t>
  </si>
  <si>
    <t>Port-service</t>
  </si>
  <si>
    <t>Asfalt</t>
  </si>
  <si>
    <t>Utelys</t>
  </si>
  <si>
    <t>Eiendoms-skatt</t>
  </si>
  <si>
    <t>Sum FU pr. kvm</t>
  </si>
  <si>
    <t>Andel eiendoms-skatt eget lokale</t>
  </si>
  <si>
    <t>Std andel i %</t>
  </si>
  <si>
    <t>Avvikende andel i %</t>
  </si>
  <si>
    <t>Måler ID</t>
  </si>
  <si>
    <t>FU / strøm / VA</t>
  </si>
  <si>
    <t>ADMIN / adm påslag</t>
  </si>
  <si>
    <t>Andel av areal i %</t>
  </si>
  <si>
    <t>Kostnad pr kbm:</t>
  </si>
  <si>
    <t>Vaktmester pr. kvm./år:</t>
  </si>
  <si>
    <t>Vdl. Asfalt/ uteområde</t>
  </si>
  <si>
    <t>Vaktmester, ekstern</t>
  </si>
  <si>
    <t>Fjernvarme (adaptic)</t>
  </si>
  <si>
    <t>Heis-kontroll</t>
  </si>
  <si>
    <t>SUM BYGG</t>
  </si>
  <si>
    <t>Kr kw/t</t>
  </si>
  <si>
    <t>Kw/t pr kvm.</t>
  </si>
  <si>
    <t>FU totalt, til avregning: 2023</t>
  </si>
  <si>
    <t>Avregning FU til gode /skyldig      2023</t>
  </si>
  <si>
    <t>FU à konto       2023</t>
  </si>
  <si>
    <t>Kontrollert fakt à kontoFU 06.05.25 GS</t>
  </si>
  <si>
    <t>avvikende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</si>
</sst>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kr&quot;\ * #,##0.00_-;\-&quot;kr&quot;\ * #,##0.00_-;_-&quot;kr&quot;\ * &quot;-&quot;??_-;_-@_-"/>
    <numFmt numFmtId="43" formatCode="_-* #,##0.00_-;\-* #,##0.00_-;_-* &quot;-&quot;??_-;_-@_-"/>
    <numFmt numFmtId="164" formatCode="_ * #,##0_ ;_ * \-#,##0_ ;_ * &quot;-&quot;??_ ;_ @_ "/>
    <numFmt numFmtId="165" formatCode="0.0"/>
    <numFmt numFmtId="167" formatCode="_ [$kr-414]\ * #,##0.00_ ;_ [$kr-414]\ * \-#,##0.00_ ;_ [$kr-414]\ * &quot;-&quot;??_ ;_ @_ "/>
    <numFmt numFmtId="168" formatCode="_ [$kr-414]\ * #,##0_ ;_ [$kr-414]\ * \-#,##0_ ;_ [$kr-414]\ * &quot;-&quot;??_ ;_ @_ 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name val="Aptos Narrow"/>
      <family val="2"/>
    </font>
    <font>
      <b/>
      <sz val="11"/>
      <color rgb="FFFF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</cellStyleXfs>
  <cellXfs count="151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44" fontId="0" fillId="0" borderId="0" xfId="2" applyFont="1"/>
    <xf numFmtId="9" fontId="0" fillId="0" borderId="0" xfId="3" applyFont="1"/>
    <xf numFmtId="0" fontId="2" fillId="0" borderId="0" xfId="0" applyFont="1"/>
    <xf numFmtId="10" fontId="0" fillId="0" borderId="0" xfId="0" applyNumberFormat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7" xfId="0" applyNumberFormat="1" applyBorder="1"/>
    <xf numFmtId="164" fontId="0" fillId="0" borderId="0" xfId="0" applyNumberFormat="1"/>
    <xf numFmtId="44" fontId="0" fillId="0" borderId="7" xfId="2" applyFont="1" applyBorder="1"/>
    <xf numFmtId="164" fontId="0" fillId="0" borderId="7" xfId="1" applyNumberFormat="1" applyFont="1" applyFill="1" applyBorder="1" applyAlignment="1">
      <alignment horizontal="left" vertical="top"/>
    </xf>
    <xf numFmtId="0" fontId="0" fillId="0" borderId="7" xfId="0" applyBorder="1"/>
    <xf numFmtId="0" fontId="0" fillId="0" borderId="7" xfId="0" applyBorder="1" applyAlignment="1">
      <alignment horizontal="left"/>
    </xf>
    <xf numFmtId="0" fontId="2" fillId="0" borderId="7" xfId="0" applyFont="1" applyBorder="1" applyAlignment="1">
      <alignment horizontal="left"/>
    </xf>
    <xf numFmtId="14" fontId="0" fillId="0" borderId="18" xfId="0" applyNumberFormat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0" fillId="0" borderId="12" xfId="0" applyBorder="1"/>
    <xf numFmtId="0" fontId="0" fillId="0" borderId="12" xfId="0" applyBorder="1" applyAlignment="1">
      <alignment horizontal="left"/>
    </xf>
    <xf numFmtId="0" fontId="0" fillId="4" borderId="12" xfId="0" applyFill="1" applyBorder="1"/>
    <xf numFmtId="0" fontId="0" fillId="4" borderId="12" xfId="0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164" fontId="0" fillId="4" borderId="7" xfId="1" applyNumberFormat="1" applyFont="1" applyFill="1" applyBorder="1" applyAlignment="1">
      <alignment horizontal="left" vertical="top"/>
    </xf>
    <xf numFmtId="164" fontId="0" fillId="0" borderId="0" xfId="1" applyNumberFormat="1" applyFont="1" applyFill="1" applyBorder="1" applyAlignment="1">
      <alignment horizontal="left" vertical="top"/>
    </xf>
    <xf numFmtId="164" fontId="0" fillId="0" borderId="0" xfId="1" applyNumberFormat="1" applyFont="1" applyBorder="1" applyAlignment="1">
      <alignment horizontal="left" vertical="top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9" fontId="0" fillId="0" borderId="0" xfId="0" applyNumberFormat="1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44" fontId="0" fillId="0" borderId="19" xfId="2" applyFont="1" applyFill="1" applyBorder="1" applyAlignment="1">
      <alignment horizontal="left" vertical="top"/>
    </xf>
    <xf numFmtId="44" fontId="0" fillId="4" borderId="19" xfId="2" applyFont="1" applyFill="1" applyBorder="1" applyAlignment="1">
      <alignment horizontal="left" vertical="top"/>
    </xf>
    <xf numFmtId="1" fontId="2" fillId="3" borderId="18" xfId="2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3" borderId="17" xfId="0" applyFont="1" applyFill="1" applyBorder="1"/>
    <xf numFmtId="0" fontId="2" fillId="3" borderId="0" xfId="0" applyFont="1" applyFill="1"/>
    <xf numFmtId="44" fontId="0" fillId="0" borderId="0" xfId="2" applyFont="1" applyFill="1" applyBorder="1" applyAlignment="1">
      <alignment horizontal="left" vertical="top"/>
    </xf>
    <xf numFmtId="0" fontId="2" fillId="3" borderId="4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44" fontId="2" fillId="3" borderId="7" xfId="2" applyFont="1" applyFill="1" applyBorder="1"/>
    <xf numFmtId="44" fontId="2" fillId="3" borderId="0" xfId="2" applyFont="1" applyFill="1" applyBorder="1" applyAlignment="1"/>
    <xf numFmtId="9" fontId="2" fillId="3" borderId="0" xfId="3" applyFont="1" applyFill="1" applyBorder="1" applyAlignment="1"/>
    <xf numFmtId="0" fontId="2" fillId="0" borderId="7" xfId="0" applyFont="1" applyBorder="1"/>
    <xf numFmtId="0" fontId="2" fillId="3" borderId="7" xfId="0" applyFont="1" applyFill="1" applyBorder="1"/>
    <xf numFmtId="0" fontId="2" fillId="0" borderId="12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9" fontId="0" fillId="0" borderId="7" xfId="3" applyFont="1" applyFill="1" applyBorder="1" applyAlignment="1">
      <alignment horizontal="center" vertical="top"/>
    </xf>
    <xf numFmtId="9" fontId="2" fillId="3" borderId="0" xfId="3" applyFont="1" applyFill="1" applyBorder="1" applyAlignment="1">
      <alignment horizontal="center"/>
    </xf>
    <xf numFmtId="9" fontId="0" fillId="4" borderId="7" xfId="3" applyFont="1" applyFill="1" applyBorder="1" applyAlignment="1">
      <alignment horizontal="center" vertical="top"/>
    </xf>
    <xf numFmtId="0" fontId="0" fillId="5" borderId="0" xfId="0" applyFill="1"/>
    <xf numFmtId="0" fontId="0" fillId="0" borderId="7" xfId="0" applyBorder="1" applyAlignment="1">
      <alignment wrapText="1"/>
    </xf>
    <xf numFmtId="44" fontId="2" fillId="3" borderId="7" xfId="2" applyFont="1" applyFill="1" applyBorder="1" applyAlignment="1"/>
    <xf numFmtId="0" fontId="8" fillId="0" borderId="7" xfId="0" applyFont="1" applyBorder="1"/>
    <xf numFmtId="9" fontId="0" fillId="0" borderId="7" xfId="3" applyFont="1" applyBorder="1" applyAlignment="1">
      <alignment horizontal="center" vertical="center"/>
    </xf>
    <xf numFmtId="9" fontId="0" fillId="0" borderId="18" xfId="3" applyFont="1" applyBorder="1" applyAlignment="1">
      <alignment horizontal="center"/>
    </xf>
    <xf numFmtId="0" fontId="9" fillId="6" borderId="0" xfId="0" applyFont="1" applyFill="1" applyAlignment="1">
      <alignment horizontal="center"/>
    </xf>
    <xf numFmtId="1" fontId="0" fillId="0" borderId="0" xfId="2" applyNumberFormat="1" applyFont="1"/>
    <xf numFmtId="1" fontId="2" fillId="3" borderId="4" xfId="2" applyNumberFormat="1" applyFont="1" applyFill="1" applyBorder="1" applyAlignment="1">
      <alignment horizontal="center" vertical="center" wrapText="1"/>
    </xf>
    <xf numFmtId="1" fontId="2" fillId="3" borderId="10" xfId="2" applyNumberFormat="1" applyFont="1" applyFill="1" applyBorder="1" applyAlignment="1">
      <alignment horizontal="center" vertical="center" wrapText="1"/>
    </xf>
    <xf numFmtId="1" fontId="2" fillId="3" borderId="0" xfId="2" applyNumberFormat="1" applyFont="1" applyFill="1" applyBorder="1" applyAlignment="1"/>
    <xf numFmtId="1" fontId="0" fillId="0" borderId="7" xfId="2" applyNumberFormat="1" applyFont="1" applyBorder="1"/>
    <xf numFmtId="2" fontId="0" fillId="0" borderId="0" xfId="0" applyNumberFormat="1" applyAlignment="1">
      <alignment horizontal="center"/>
    </xf>
    <xf numFmtId="9" fontId="0" fillId="0" borderId="0" xfId="3" applyFont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" fillId="7" borderId="24" xfId="0" applyFont="1" applyFill="1" applyBorder="1" applyAlignment="1">
      <alignment horizontal="center" vertical="top" wrapText="1"/>
    </xf>
    <xf numFmtId="0" fontId="2" fillId="7" borderId="25" xfId="0" applyFont="1" applyFill="1" applyBorder="1" applyAlignment="1">
      <alignment horizontal="center" wrapText="1"/>
    </xf>
    <xf numFmtId="44" fontId="0" fillId="2" borderId="26" xfId="2" applyFont="1" applyFill="1" applyBorder="1"/>
    <xf numFmtId="44" fontId="0" fillId="8" borderId="0" xfId="2" applyFont="1" applyFill="1"/>
    <xf numFmtId="0" fontId="2" fillId="0" borderId="18" xfId="0" applyFont="1" applyBorder="1" applyAlignment="1">
      <alignment horizontal="center" wrapText="1"/>
    </xf>
    <xf numFmtId="0" fontId="2" fillId="5" borderId="20" xfId="0" applyFont="1" applyFill="1" applyBorder="1"/>
    <xf numFmtId="0" fontId="0" fillId="5" borderId="20" xfId="0" applyFill="1" applyBorder="1"/>
    <xf numFmtId="0" fontId="2" fillId="3" borderId="13" xfId="0" applyFont="1" applyFill="1" applyBorder="1"/>
    <xf numFmtId="44" fontId="2" fillId="3" borderId="13" xfId="2" applyFont="1" applyFill="1" applyBorder="1"/>
    <xf numFmtId="0" fontId="2" fillId="0" borderId="27" xfId="0" applyFont="1" applyBorder="1"/>
    <xf numFmtId="0" fontId="2" fillId="0" borderId="28" xfId="0" applyFont="1" applyBorder="1"/>
    <xf numFmtId="44" fontId="2" fillId="0" borderId="28" xfId="2" applyFont="1" applyBorder="1"/>
    <xf numFmtId="0" fontId="2" fillId="0" borderId="29" xfId="0" applyFont="1" applyBorder="1"/>
    <xf numFmtId="0" fontId="0" fillId="0" borderId="30" xfId="0" applyBorder="1"/>
    <xf numFmtId="0" fontId="0" fillId="0" borderId="31" xfId="0" applyBorder="1"/>
    <xf numFmtId="44" fontId="0" fillId="0" borderId="31" xfId="0" applyNumberFormat="1" applyBorder="1"/>
    <xf numFmtId="44" fontId="0" fillId="0" borderId="18" xfId="2" applyFont="1" applyBorder="1" applyAlignment="1">
      <alignment wrapText="1"/>
    </xf>
    <xf numFmtId="1" fontId="0" fillId="0" borderId="18" xfId="2" applyNumberFormat="1" applyFont="1" applyBorder="1" applyAlignment="1">
      <alignment horizontal="center"/>
    </xf>
    <xf numFmtId="1" fontId="2" fillId="3" borderId="13" xfId="2" applyNumberFormat="1" applyFont="1" applyFill="1" applyBorder="1" applyAlignment="1">
      <alignment horizontal="center"/>
    </xf>
    <xf numFmtId="1" fontId="2" fillId="0" borderId="6" xfId="2" applyNumberFormat="1" applyFont="1" applyBorder="1"/>
    <xf numFmtId="0" fontId="2" fillId="7" borderId="0" xfId="0" applyFont="1" applyFill="1"/>
    <xf numFmtId="0" fontId="2" fillId="7" borderId="0" xfId="0" applyFont="1" applyFill="1" applyAlignment="1">
      <alignment horizontal="left"/>
    </xf>
    <xf numFmtId="14" fontId="2" fillId="7" borderId="0" xfId="0" applyNumberFormat="1" applyFont="1" applyFill="1" applyAlignment="1">
      <alignment horizontal="center"/>
    </xf>
    <xf numFmtId="9" fontId="2" fillId="7" borderId="0" xfId="3" applyFont="1" applyFill="1" applyBorder="1" applyAlignment="1">
      <alignment horizontal="center"/>
    </xf>
    <xf numFmtId="14" fontId="2" fillId="7" borderId="0" xfId="0" applyNumberFormat="1" applyFont="1" applyFill="1"/>
    <xf numFmtId="44" fontId="2" fillId="7" borderId="0" xfId="2" applyFont="1" applyFill="1" applyBorder="1"/>
    <xf numFmtId="1" fontId="2" fillId="7" borderId="0" xfId="2" applyNumberFormat="1" applyFont="1" applyFill="1" applyBorder="1"/>
    <xf numFmtId="164" fontId="2" fillId="7" borderId="0" xfId="1" applyNumberFormat="1" applyFont="1" applyFill="1" applyBorder="1" applyAlignment="1">
      <alignment horizontal="left" vertical="top"/>
    </xf>
    <xf numFmtId="9" fontId="2" fillId="7" borderId="0" xfId="3" applyFont="1" applyFill="1" applyBorder="1" applyAlignment="1">
      <alignment horizontal="center" vertical="top"/>
    </xf>
    <xf numFmtId="44" fontId="2" fillId="7" borderId="0" xfId="2" applyFont="1" applyFill="1" applyBorder="1" applyAlignment="1">
      <alignment horizontal="left" vertical="top"/>
    </xf>
    <xf numFmtId="1" fontId="0" fillId="7" borderId="18" xfId="2" applyNumberFormat="1" applyFont="1" applyFill="1" applyBorder="1" applyAlignment="1">
      <alignment horizontal="center"/>
    </xf>
    <xf numFmtId="0" fontId="2" fillId="7" borderId="7" xfId="0" applyFont="1" applyFill="1" applyBorder="1"/>
    <xf numFmtId="44" fontId="2" fillId="7" borderId="7" xfId="2" applyFont="1" applyFill="1" applyBorder="1"/>
    <xf numFmtId="0" fontId="7" fillId="7" borderId="7" xfId="0" applyFont="1" applyFill="1" applyBorder="1"/>
    <xf numFmtId="0" fontId="2" fillId="0" borderId="14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9" borderId="16" xfId="0" applyFont="1" applyFill="1" applyBorder="1" applyAlignment="1">
      <alignment horizontal="center" vertical="top" wrapText="1"/>
    </xf>
    <xf numFmtId="0" fontId="2" fillId="9" borderId="23" xfId="0" applyFont="1" applyFill="1" applyBorder="1" applyAlignment="1">
      <alignment horizontal="center" vertical="top" wrapText="1"/>
    </xf>
    <xf numFmtId="168" fontId="0" fillId="0" borderId="7" xfId="0" applyNumberFormat="1" applyBorder="1"/>
    <xf numFmtId="168" fontId="0" fillId="0" borderId="7" xfId="2" applyNumberFormat="1" applyFont="1" applyBorder="1"/>
    <xf numFmtId="167" fontId="0" fillId="2" borderId="26" xfId="2" applyNumberFormat="1" applyFont="1" applyFill="1" applyBorder="1"/>
    <xf numFmtId="168" fontId="2" fillId="3" borderId="7" xfId="2" applyNumberFormat="1" applyFont="1" applyFill="1" applyBorder="1" applyAlignment="1"/>
    <xf numFmtId="168" fontId="1" fillId="3" borderId="7" xfId="2" applyNumberFormat="1" applyFont="1" applyFill="1" applyBorder="1" applyAlignment="1"/>
    <xf numFmtId="168" fontId="2" fillId="3" borderId="26" xfId="2" applyNumberFormat="1" applyFont="1" applyFill="1" applyBorder="1" applyAlignment="1"/>
    <xf numFmtId="168" fontId="2" fillId="3" borderId="20" xfId="3" applyNumberFormat="1" applyFont="1" applyFill="1" applyBorder="1" applyAlignment="1">
      <alignment horizontal="center"/>
    </xf>
    <xf numFmtId="168" fontId="2" fillId="3" borderId="14" xfId="2" applyNumberFormat="1" applyFont="1" applyFill="1" applyBorder="1"/>
    <xf numFmtId="168" fontId="0" fillId="0" borderId="20" xfId="0" applyNumberFormat="1" applyBorder="1"/>
    <xf numFmtId="168" fontId="0" fillId="0" borderId="18" xfId="2" applyNumberFormat="1" applyFont="1" applyBorder="1" applyAlignment="1">
      <alignment horizontal="left" vertical="top"/>
    </xf>
    <xf numFmtId="168" fontId="1" fillId="0" borderId="7" xfId="2" applyNumberFormat="1" applyFont="1" applyFill="1" applyBorder="1"/>
    <xf numFmtId="168" fontId="0" fillId="0" borderId="14" xfId="2" applyNumberFormat="1" applyFont="1" applyBorder="1"/>
    <xf numFmtId="168" fontId="2" fillId="7" borderId="14" xfId="2" applyNumberFormat="1" applyFont="1" applyFill="1" applyBorder="1" applyAlignment="1">
      <alignment horizontal="left" vertical="top"/>
    </xf>
    <xf numFmtId="168" fontId="2" fillId="3" borderId="18" xfId="3" applyNumberFormat="1" applyFont="1" applyFill="1" applyBorder="1" applyAlignment="1"/>
    <xf numFmtId="168" fontId="0" fillId="2" borderId="26" xfId="2" applyNumberFormat="1" applyFont="1" applyFill="1" applyBorder="1"/>
    <xf numFmtId="168" fontId="0" fillId="0" borderId="14" xfId="2" applyNumberFormat="1" applyFont="1" applyFill="1" applyBorder="1" applyAlignment="1">
      <alignment horizontal="left" vertical="top"/>
    </xf>
    <xf numFmtId="168" fontId="2" fillId="7" borderId="7" xfId="0" applyNumberFormat="1" applyFont="1" applyFill="1" applyBorder="1"/>
    <xf numFmtId="168" fontId="2" fillId="7" borderId="26" xfId="2" applyNumberFormat="1" applyFont="1" applyFill="1" applyBorder="1"/>
    <xf numFmtId="168" fontId="2" fillId="7" borderId="20" xfId="0" applyNumberFormat="1" applyFont="1" applyFill="1" applyBorder="1"/>
    <xf numFmtId="168" fontId="2" fillId="7" borderId="7" xfId="2" applyNumberFormat="1" applyFont="1" applyFill="1" applyBorder="1"/>
    <xf numFmtId="168" fontId="4" fillId="3" borderId="18" xfId="2" applyNumberFormat="1" applyFont="1" applyFill="1" applyBorder="1" applyAlignment="1"/>
    <xf numFmtId="168" fontId="2" fillId="3" borderId="7" xfId="0" applyNumberFormat="1" applyFont="1" applyFill="1" applyBorder="1"/>
    <xf numFmtId="168" fontId="11" fillId="3" borderId="7" xfId="2" applyNumberFormat="1" applyFont="1" applyFill="1" applyBorder="1" applyAlignment="1"/>
    <xf numFmtId="44" fontId="2" fillId="3" borderId="4" xfId="2" applyFont="1" applyFill="1" applyBorder="1" applyAlignment="1">
      <alignment horizontal="center" vertical="center" wrapText="1"/>
    </xf>
    <xf numFmtId="44" fontId="2" fillId="3" borderId="22" xfId="2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44" fontId="2" fillId="3" borderId="5" xfId="2" applyFont="1" applyFill="1" applyBorder="1" applyAlignment="1">
      <alignment horizontal="center" vertical="center" wrapText="1"/>
    </xf>
    <xf numFmtId="44" fontId="2" fillId="3" borderId="11" xfId="2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/>
    </xf>
    <xf numFmtId="0" fontId="2" fillId="3" borderId="9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</cellXfs>
  <cellStyles count="5">
    <cellStyle name="Komma" xfId="1" builtinId="3"/>
    <cellStyle name="Normal" xfId="0" builtinId="0"/>
    <cellStyle name="Normal 2" xfId="4" xr:uid="{817CB45C-A8DC-42D8-B827-6BB4935641CD}"/>
    <cellStyle name="Prosent" xfId="3" builtinId="5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258E-0D5B-48B2-A5E9-96DD2CF95C69}">
  <dimension ref="A1:AW54"/>
  <sheetViews>
    <sheetView tabSelected="1" workbookViewId="0">
      <pane xSplit="1" ySplit="5" topLeftCell="W6" activePane="bottomRight" state="frozen"/>
      <selection pane="topRight" activeCell="B1" sqref="B1"/>
      <selection pane="bottomLeft" activeCell="A6" sqref="A6"/>
      <selection pane="bottomRight" activeCell="AQ8" sqref="AQ8"/>
    </sheetView>
  </sheetViews>
  <sheetFormatPr baseColWidth="10" defaultColWidth="11.42578125" defaultRowHeight="15" x14ac:dyDescent="0.25"/>
  <cols>
    <col min="1" max="1" width="34.7109375" customWidth="1"/>
    <col min="2" max="2" width="16" customWidth="1"/>
    <col min="3" max="3" width="10.85546875" style="2" customWidth="1"/>
    <col min="4" max="5" width="12.5703125" style="3" customWidth="1"/>
    <col min="6" max="6" width="8.7109375" style="3" customWidth="1"/>
    <col min="7" max="7" width="11.28515625" style="3" customWidth="1"/>
    <col min="8" max="8" width="14.28515625" customWidth="1"/>
    <col min="9" max="9" width="14.28515625" style="4" customWidth="1"/>
    <col min="10" max="10" width="14.28515625" style="65" customWidth="1"/>
    <col min="11" max="11" width="10.85546875" customWidth="1"/>
    <col min="12" max="12" width="9.7109375" customWidth="1"/>
    <col min="13" max="13" width="14.7109375" bestFit="1" customWidth="1"/>
    <col min="14" max="14" width="18" style="4" customWidth="1"/>
    <col min="15" max="15" width="7" customWidth="1"/>
    <col min="18" max="18" width="15.85546875" style="4" bestFit="1" customWidth="1"/>
    <col min="19" max="19" width="9.42578125" style="4" customWidth="1"/>
    <col min="20" max="20" width="8.140625" bestFit="1" customWidth="1"/>
    <col min="21" max="21" width="11.42578125" style="58"/>
    <col min="25" max="30" width="14" customWidth="1"/>
    <col min="31" max="31" width="16.85546875" bestFit="1" customWidth="1"/>
    <col min="32" max="42" width="14" customWidth="1"/>
    <col min="43" max="43" width="18.42578125" customWidth="1"/>
    <col min="44" max="44" width="14" customWidth="1"/>
    <col min="45" max="45" width="15.85546875" bestFit="1" customWidth="1"/>
    <col min="46" max="46" width="16.85546875" style="4" bestFit="1" customWidth="1"/>
    <col min="47" max="47" width="13.85546875" customWidth="1"/>
    <col min="49" max="49" width="13.5703125" bestFit="1" customWidth="1"/>
  </cols>
  <sheetData>
    <row r="1" spans="1:49" ht="7.5" customHeight="1" x14ac:dyDescent="0.3">
      <c r="A1" s="1" t="s">
        <v>16</v>
      </c>
      <c r="B1" s="1"/>
      <c r="K1" s="5"/>
      <c r="L1" s="5"/>
      <c r="AT1" s="76" t="s">
        <v>58</v>
      </c>
      <c r="AU1" s="76"/>
    </row>
    <row r="2" spans="1:49" ht="21" hidden="1" x14ac:dyDescent="0.35">
      <c r="A2" s="64">
        <v>2023</v>
      </c>
      <c r="B2" s="6"/>
      <c r="D2" s="7"/>
      <c r="E2" s="7"/>
      <c r="F2" s="7"/>
      <c r="G2" s="7"/>
      <c r="K2" s="5"/>
      <c r="L2" s="5"/>
      <c r="AH2" t="s">
        <v>59</v>
      </c>
    </row>
    <row r="3" spans="1:49" ht="15.75" thickBot="1" x14ac:dyDescent="0.3">
      <c r="K3" s="5"/>
      <c r="L3" s="5"/>
      <c r="N3"/>
      <c r="Y3" s="6" t="s">
        <v>22</v>
      </c>
      <c r="AT3"/>
    </row>
    <row r="4" spans="1:49" s="6" customFormat="1" ht="15.75" customHeight="1" x14ac:dyDescent="0.25">
      <c r="A4" s="8" t="s">
        <v>1</v>
      </c>
      <c r="B4" s="9"/>
      <c r="C4" s="147" t="s">
        <v>2</v>
      </c>
      <c r="D4" s="10" t="s">
        <v>3</v>
      </c>
      <c r="E4" s="137" t="s">
        <v>39</v>
      </c>
      <c r="F4" s="145" t="s">
        <v>40</v>
      </c>
      <c r="G4" s="145" t="s">
        <v>41</v>
      </c>
      <c r="H4" s="149" t="s">
        <v>4</v>
      </c>
      <c r="I4" s="139" t="s">
        <v>47</v>
      </c>
      <c r="J4" s="66"/>
      <c r="K4" s="143" t="s">
        <v>5</v>
      </c>
      <c r="L4" s="46"/>
      <c r="M4" s="141" t="s">
        <v>38</v>
      </c>
      <c r="N4" s="35" t="s">
        <v>17</v>
      </c>
      <c r="O4" s="77"/>
      <c r="P4" s="82" t="s">
        <v>18</v>
      </c>
      <c r="Q4" s="83"/>
      <c r="R4" s="84"/>
      <c r="S4" s="92" t="e">
        <f>#REF!-#REF!-#REF!-#REF!</f>
        <v>#REF!</v>
      </c>
      <c r="T4" s="85"/>
      <c r="U4" s="78" t="s">
        <v>21</v>
      </c>
      <c r="V4" s="51"/>
      <c r="W4" s="51"/>
      <c r="Y4" s="53">
        <v>4300</v>
      </c>
      <c r="Z4" s="53">
        <v>4301</v>
      </c>
      <c r="AA4" s="53">
        <v>4302</v>
      </c>
      <c r="AB4" s="53">
        <v>4303</v>
      </c>
      <c r="AC4" s="53">
        <v>4304</v>
      </c>
      <c r="AD4" s="53">
        <v>4305</v>
      </c>
      <c r="AE4" s="53">
        <v>4306</v>
      </c>
      <c r="AF4" s="53">
        <v>4307</v>
      </c>
      <c r="AG4" s="53">
        <v>4308</v>
      </c>
      <c r="AH4" s="109">
        <v>4309</v>
      </c>
      <c r="AI4" s="53">
        <v>4310</v>
      </c>
      <c r="AJ4" s="39">
        <v>4311</v>
      </c>
      <c r="AK4" s="53">
        <v>4312</v>
      </c>
      <c r="AL4" s="53">
        <v>4313</v>
      </c>
      <c r="AM4" s="53">
        <v>4315</v>
      </c>
      <c r="AN4" s="53"/>
      <c r="AO4" s="53"/>
      <c r="AP4" s="107"/>
      <c r="AQ4" s="73" t="s">
        <v>8</v>
      </c>
      <c r="AR4" s="40"/>
      <c r="AS4" s="53" t="s">
        <v>8</v>
      </c>
      <c r="AT4" s="134" t="s">
        <v>57</v>
      </c>
      <c r="AU4" s="136" t="s">
        <v>56</v>
      </c>
    </row>
    <row r="5" spans="1:49" ht="45.75" thickBot="1" x14ac:dyDescent="0.3">
      <c r="A5" s="11" t="s">
        <v>0</v>
      </c>
      <c r="B5" s="11" t="s">
        <v>6</v>
      </c>
      <c r="C5" s="148"/>
      <c r="D5" s="12" t="s">
        <v>7</v>
      </c>
      <c r="E5" s="138"/>
      <c r="F5" s="146"/>
      <c r="G5" s="146"/>
      <c r="H5" s="150"/>
      <c r="I5" s="140"/>
      <c r="J5" s="67" t="s">
        <v>48</v>
      </c>
      <c r="K5" s="144"/>
      <c r="L5" s="47" t="s">
        <v>45</v>
      </c>
      <c r="M5" s="142"/>
      <c r="N5" s="38">
        <v>2023</v>
      </c>
      <c r="O5" s="77"/>
      <c r="P5" s="86" t="s">
        <v>42</v>
      </c>
      <c r="Q5" s="18" t="s">
        <v>19</v>
      </c>
      <c r="R5" s="18" t="s">
        <v>20</v>
      </c>
      <c r="S5" s="89" t="s">
        <v>54</v>
      </c>
      <c r="T5" s="87" t="s">
        <v>53</v>
      </c>
      <c r="U5" s="79" t="s">
        <v>42</v>
      </c>
      <c r="V5" s="18" t="s">
        <v>19</v>
      </c>
      <c r="W5" s="59" t="s">
        <v>46</v>
      </c>
      <c r="Y5" s="54" t="s">
        <v>23</v>
      </c>
      <c r="Z5" s="54" t="s">
        <v>24</v>
      </c>
      <c r="AA5" s="54" t="s">
        <v>25</v>
      </c>
      <c r="AB5" s="54" t="s">
        <v>26</v>
      </c>
      <c r="AC5" s="54" t="s">
        <v>27</v>
      </c>
      <c r="AD5" s="54" t="s">
        <v>28</v>
      </c>
      <c r="AE5" s="54" t="s">
        <v>29</v>
      </c>
      <c r="AF5" s="54" t="s">
        <v>50</v>
      </c>
      <c r="AG5" s="54" t="s">
        <v>30</v>
      </c>
      <c r="AH5" s="110" t="s">
        <v>31</v>
      </c>
      <c r="AI5" s="54" t="s">
        <v>32</v>
      </c>
      <c r="AJ5" s="41" t="s">
        <v>33</v>
      </c>
      <c r="AK5" s="54" t="s">
        <v>49</v>
      </c>
      <c r="AL5" s="72" t="s">
        <v>34</v>
      </c>
      <c r="AM5" s="72" t="s">
        <v>51</v>
      </c>
      <c r="AN5" s="72" t="s">
        <v>35</v>
      </c>
      <c r="AO5" s="72" t="s">
        <v>36</v>
      </c>
      <c r="AP5" s="108" t="s">
        <v>37</v>
      </c>
      <c r="AQ5" s="74" t="s">
        <v>43</v>
      </c>
      <c r="AR5" s="42" t="s">
        <v>44</v>
      </c>
      <c r="AS5" s="54" t="s">
        <v>55</v>
      </c>
      <c r="AT5" s="135"/>
      <c r="AU5" s="136"/>
    </row>
    <row r="6" spans="1:49" x14ac:dyDescent="0.25">
      <c r="A6" s="43" t="s">
        <v>12</v>
      </c>
      <c r="B6" s="44"/>
      <c r="C6" s="44"/>
      <c r="D6" s="44"/>
      <c r="E6" s="49">
        <f>47664/K6</f>
        <v>41.7007874015748</v>
      </c>
      <c r="F6" s="50"/>
      <c r="G6" s="50"/>
      <c r="H6" s="44"/>
      <c r="I6" s="49"/>
      <c r="J6" s="68"/>
      <c r="K6" s="44">
        <f>SUM(K7:K9)</f>
        <v>1143</v>
      </c>
      <c r="L6" s="56"/>
      <c r="M6" s="48">
        <f>AT6/K6</f>
        <v>425.1968503937008</v>
      </c>
      <c r="N6" s="44"/>
      <c r="O6" s="51"/>
      <c r="P6" s="80"/>
      <c r="Q6" s="80">
        <v>232790</v>
      </c>
      <c r="R6" s="81">
        <v>436910</v>
      </c>
      <c r="S6" s="91">
        <f>Q6/K6</f>
        <v>203.66579177602799</v>
      </c>
      <c r="T6" s="80"/>
      <c r="U6" s="52"/>
      <c r="V6" s="52" t="e">
        <f>SUM(#REF!)</f>
        <v>#REF!</v>
      </c>
      <c r="W6" s="60">
        <v>76</v>
      </c>
      <c r="X6" s="44"/>
      <c r="Y6" s="114">
        <v>514</v>
      </c>
      <c r="Z6" s="114">
        <v>16974</v>
      </c>
      <c r="AA6" s="114">
        <v>1292</v>
      </c>
      <c r="AB6" s="114">
        <v>0</v>
      </c>
      <c r="AC6" s="114">
        <v>1593</v>
      </c>
      <c r="AD6" s="114">
        <v>0</v>
      </c>
      <c r="AE6" s="133">
        <v>436911</v>
      </c>
      <c r="AF6" s="114">
        <v>0</v>
      </c>
      <c r="AG6" s="114"/>
      <c r="AH6" s="114">
        <v>68761</v>
      </c>
      <c r="AI6" s="114"/>
      <c r="AJ6" s="114"/>
      <c r="AK6" s="114">
        <v>0</v>
      </c>
      <c r="AL6" s="114"/>
      <c r="AM6" s="114"/>
      <c r="AN6" s="114"/>
      <c r="AO6" s="114"/>
      <c r="AP6" s="124"/>
      <c r="AQ6" s="116">
        <f>SUM(Y6:AP6)</f>
        <v>526045</v>
      </c>
      <c r="AR6" s="117">
        <v>0.05</v>
      </c>
      <c r="AS6" s="114"/>
      <c r="AT6" s="118">
        <f>SUM(AT7:AT9)</f>
        <v>486000</v>
      </c>
      <c r="AU6" s="118">
        <f ca="1">SUM(AU7:AU9)</f>
        <v>20244.960236220475</v>
      </c>
    </row>
    <row r="7" spans="1:49" ht="15.75" x14ac:dyDescent="0.25">
      <c r="A7" s="23"/>
      <c r="B7" s="24">
        <v>970915834</v>
      </c>
      <c r="C7" s="22" t="s">
        <v>13</v>
      </c>
      <c r="D7" s="13" t="s">
        <v>9</v>
      </c>
      <c r="E7" s="62">
        <v>1</v>
      </c>
      <c r="F7" s="13"/>
      <c r="G7" s="13"/>
      <c r="H7" s="14">
        <v>46630</v>
      </c>
      <c r="I7" s="16">
        <f>(2*12)*1.1</f>
        <v>26.400000000000002</v>
      </c>
      <c r="J7" s="69">
        <v>400</v>
      </c>
      <c r="K7" s="17">
        <v>290</v>
      </c>
      <c r="L7" s="55">
        <f>K7/$K$6</f>
        <v>0.25371828521434819</v>
      </c>
      <c r="M7" s="45">
        <f>AT7/K7</f>
        <v>434.48275862068965</v>
      </c>
      <c r="N7" s="36">
        <v>343559</v>
      </c>
      <c r="O7" s="18"/>
      <c r="P7" s="18"/>
      <c r="Q7" s="18">
        <v>65439</v>
      </c>
      <c r="R7" s="16">
        <v>122518</v>
      </c>
      <c r="S7" s="90">
        <f t="shared" ref="S7:S9" si="0">Q7/K7</f>
        <v>225.65172413793104</v>
      </c>
      <c r="T7" s="88">
        <f t="shared" ref="T7:T9" si="1">R7/Q7</f>
        <v>1.872247436543957</v>
      </c>
      <c r="U7" s="61">
        <v>114797</v>
      </c>
      <c r="V7" s="18">
        <v>85</v>
      </c>
      <c r="W7" s="18">
        <f>V7*$W$6</f>
        <v>6460</v>
      </c>
      <c r="Y7" s="111">
        <f>$Y$6*L7</f>
        <v>130.41119860017497</v>
      </c>
      <c r="Z7" s="111">
        <f t="shared" ref="Z7" si="2">W7</f>
        <v>6460</v>
      </c>
      <c r="AA7" s="111">
        <f>$AA$6*L7</f>
        <v>327.80402449693787</v>
      </c>
      <c r="AB7" s="111">
        <f>$AB$6*L7</f>
        <v>0</v>
      </c>
      <c r="AC7" s="111">
        <f>$AC$6*L7</f>
        <v>404.17322834645665</v>
      </c>
      <c r="AD7" s="111">
        <f>$AD$6*L7</f>
        <v>0</v>
      </c>
      <c r="AE7" s="111">
        <f t="shared" ref="AE7" si="3">R7</f>
        <v>122518</v>
      </c>
      <c r="AF7" s="111"/>
      <c r="AG7" s="111">
        <f>$AG$6*L7</f>
        <v>0</v>
      </c>
      <c r="AH7" s="111">
        <f>$AH$6*L7</f>
        <v>17445.923009623795</v>
      </c>
      <c r="AI7" s="111">
        <f>$AI$6*L7</f>
        <v>0</v>
      </c>
      <c r="AJ7" s="111">
        <f>$AJ$6*L7</f>
        <v>0</v>
      </c>
      <c r="AK7" s="112">
        <f>I7*K7</f>
        <v>7656.0000000000009</v>
      </c>
      <c r="AL7" s="111">
        <f>$AL$6*L7</f>
        <v>0</v>
      </c>
      <c r="AM7" s="111">
        <f ca="1">$AM$7*L7</f>
        <v>0</v>
      </c>
      <c r="AN7" s="112"/>
      <c r="AO7" s="112"/>
      <c r="AP7" s="112">
        <f>($E$6*K7)*E7</f>
        <v>12093.228346456692</v>
      </c>
      <c r="AQ7" s="113">
        <f ca="1">SUM(Y7:AP7)</f>
        <v>0</v>
      </c>
      <c r="AR7" s="119">
        <f t="shared" ref="AR7:AR9" ca="1" si="4">AQ7*5%</f>
        <v>904.66141732283472</v>
      </c>
      <c r="AS7" s="122">
        <f t="shared" ref="AS7:AS10" ca="1" si="5">SUM(AQ7:AR7)</f>
        <v>18997.889763779527</v>
      </c>
      <c r="AT7" s="126">
        <v>126000</v>
      </c>
      <c r="AU7" s="121">
        <f t="shared" ref="AU7:AU10" ca="1" si="6">AT7-AS7</f>
        <v>107002.11023622047</v>
      </c>
      <c r="AW7" s="75">
        <v>173036</v>
      </c>
    </row>
    <row r="8" spans="1:49" ht="15.75" x14ac:dyDescent="0.25">
      <c r="A8" s="25"/>
      <c r="B8" s="26">
        <v>915427235</v>
      </c>
      <c r="C8" s="27" t="s">
        <v>14</v>
      </c>
      <c r="D8" s="13" t="s">
        <v>9</v>
      </c>
      <c r="E8" s="63">
        <v>0.5</v>
      </c>
      <c r="F8" s="13"/>
      <c r="G8" s="13"/>
      <c r="H8" s="14">
        <v>47391</v>
      </c>
      <c r="I8" s="16">
        <f>(2.5*12)*1.1</f>
        <v>33</v>
      </c>
      <c r="J8" s="69">
        <v>600</v>
      </c>
      <c r="K8" s="28">
        <f>373+90</f>
        <v>463</v>
      </c>
      <c r="L8" s="57">
        <f t="shared" ref="L8:L9" si="7">K8/$K$6</f>
        <v>0.40507436570428695</v>
      </c>
      <c r="M8" s="45">
        <f>AT8/K8</f>
        <v>349.89200863930887</v>
      </c>
      <c r="N8" s="37">
        <v>632610</v>
      </c>
      <c r="O8" s="18"/>
      <c r="P8" s="18"/>
      <c r="Q8" s="18">
        <v>83676</v>
      </c>
      <c r="R8" s="16">
        <v>157056</v>
      </c>
      <c r="S8" s="90">
        <f t="shared" si="0"/>
        <v>180.72570194384448</v>
      </c>
      <c r="T8" s="88">
        <f t="shared" si="1"/>
        <v>1.8769539652947083</v>
      </c>
      <c r="U8" s="61">
        <v>43472970</v>
      </c>
      <c r="V8" s="18">
        <v>32</v>
      </c>
      <c r="W8" s="18">
        <f t="shared" ref="W8:W9" si="8">V8*$W$6</f>
        <v>2432</v>
      </c>
      <c r="Y8" s="111">
        <f t="shared" ref="Y8:Y9" si="9">$Y$6*L8</f>
        <v>208.20822397200348</v>
      </c>
      <c r="Z8" s="111">
        <f t="shared" ref="Z8:Z9" si="10">W8</f>
        <v>2432</v>
      </c>
      <c r="AA8" s="111">
        <f t="shared" ref="AA8:AA9" si="11">$AA$6*L8</f>
        <v>523.35608048993879</v>
      </c>
      <c r="AB8" s="111">
        <f t="shared" ref="AB8:AB9" si="12">$AB$6*L8</f>
        <v>0</v>
      </c>
      <c r="AC8" s="111">
        <f t="shared" ref="AC8:AC9" si="13">$AC$6*L8</f>
        <v>645.28346456692907</v>
      </c>
      <c r="AD8" s="111">
        <f t="shared" ref="AD8:AD9" si="14">$AD$6*L8</f>
        <v>0</v>
      </c>
      <c r="AE8" s="111">
        <f t="shared" ref="AE8:AE9" si="15">R8</f>
        <v>157056</v>
      </c>
      <c r="AF8" s="111"/>
      <c r="AG8" s="111">
        <f t="shared" ref="AG8:AG9" si="16">$AG$6*L8</f>
        <v>0</v>
      </c>
      <c r="AH8" s="111">
        <f t="shared" ref="AH8:AH9" si="17">$AH$6*L8</f>
        <v>27853.318460192477</v>
      </c>
      <c r="AI8" s="111">
        <f t="shared" ref="AI8:AI9" si="18">$AI$6*L8</f>
        <v>0</v>
      </c>
      <c r="AJ8" s="111">
        <f t="shared" ref="AJ8:AJ9" si="19">$AJ$6*L8</f>
        <v>0</v>
      </c>
      <c r="AK8" s="112">
        <f t="shared" ref="AK8:AK9" si="20">I8*K8</f>
        <v>15279</v>
      </c>
      <c r="AL8" s="111">
        <f t="shared" ref="AL8:AL9" si="21">$AL$6*L8</f>
        <v>0</v>
      </c>
      <c r="AM8" s="111">
        <f t="shared" ref="AM8:AM9" ca="1" si="22">$AM$7*L8</f>
        <v>0</v>
      </c>
      <c r="AN8" s="112"/>
      <c r="AO8" s="112"/>
      <c r="AP8" s="112">
        <f>($E$6*K8)*E8</f>
        <v>9653.7322834645656</v>
      </c>
      <c r="AQ8" s="125">
        <v>222651</v>
      </c>
      <c r="AR8" s="119">
        <f t="shared" si="4"/>
        <v>11132.550000000001</v>
      </c>
      <c r="AS8" s="122">
        <f t="shared" si="5"/>
        <v>233783.55</v>
      </c>
      <c r="AT8" s="126">
        <v>162000</v>
      </c>
      <c r="AU8" s="121">
        <f t="shared" si="6"/>
        <v>-71783.549999999988</v>
      </c>
      <c r="AW8" s="75">
        <v>222651</v>
      </c>
    </row>
    <row r="9" spans="1:49" ht="15.75" x14ac:dyDescent="0.25">
      <c r="A9" s="18"/>
      <c r="B9" s="19">
        <v>998989787</v>
      </c>
      <c r="C9" s="20" t="s">
        <v>14</v>
      </c>
      <c r="D9" s="21" t="s">
        <v>11</v>
      </c>
      <c r="E9" s="63">
        <v>0</v>
      </c>
      <c r="F9" s="21"/>
      <c r="G9" s="21"/>
      <c r="H9" s="14" t="s">
        <v>10</v>
      </c>
      <c r="I9" s="16">
        <f>(2.5*12)*1.1</f>
        <v>33</v>
      </c>
      <c r="J9" s="69"/>
      <c r="K9" s="17">
        <v>390</v>
      </c>
      <c r="L9" s="55">
        <f t="shared" si="7"/>
        <v>0.34120734908136485</v>
      </c>
      <c r="M9" s="45">
        <f>AT9/K9</f>
        <v>507.69230769230768</v>
      </c>
      <c r="N9" s="36">
        <v>431940</v>
      </c>
      <c r="O9" s="18"/>
      <c r="P9" s="18"/>
      <c r="Q9" s="18">
        <v>83676</v>
      </c>
      <c r="R9" s="16">
        <v>157056</v>
      </c>
      <c r="S9" s="90">
        <f t="shared" si="0"/>
        <v>214.55384615384617</v>
      </c>
      <c r="T9" s="88">
        <f t="shared" si="1"/>
        <v>1.8769539652947083</v>
      </c>
      <c r="U9" s="61">
        <v>12358169</v>
      </c>
      <c r="V9" s="18">
        <v>109</v>
      </c>
      <c r="W9" s="18">
        <f t="shared" si="8"/>
        <v>8284</v>
      </c>
      <c r="Y9" s="111">
        <f t="shared" si="9"/>
        <v>175.38057742782152</v>
      </c>
      <c r="Z9" s="111">
        <f t="shared" si="10"/>
        <v>8284</v>
      </c>
      <c r="AA9" s="111">
        <f t="shared" si="11"/>
        <v>440.8398950131234</v>
      </c>
      <c r="AB9" s="111">
        <f t="shared" si="12"/>
        <v>0</v>
      </c>
      <c r="AC9" s="111">
        <f t="shared" si="13"/>
        <v>543.54330708661416</v>
      </c>
      <c r="AD9" s="111">
        <f t="shared" si="14"/>
        <v>0</v>
      </c>
      <c r="AE9" s="111">
        <f t="shared" si="15"/>
        <v>157056</v>
      </c>
      <c r="AF9" s="111"/>
      <c r="AG9" s="111">
        <f t="shared" si="16"/>
        <v>0</v>
      </c>
      <c r="AH9" s="111">
        <f t="shared" si="17"/>
        <v>23461.758530183728</v>
      </c>
      <c r="AI9" s="111">
        <f t="shared" si="18"/>
        <v>0</v>
      </c>
      <c r="AJ9" s="111">
        <f t="shared" si="19"/>
        <v>0</v>
      </c>
      <c r="AK9" s="112">
        <f t="shared" si="20"/>
        <v>12870</v>
      </c>
      <c r="AL9" s="111">
        <f t="shared" si="21"/>
        <v>0</v>
      </c>
      <c r="AM9" s="111">
        <f t="shared" ca="1" si="22"/>
        <v>0</v>
      </c>
      <c r="AN9" s="112"/>
      <c r="AO9" s="112"/>
      <c r="AP9" s="112">
        <f>($E$6*K9)*E9</f>
        <v>0</v>
      </c>
      <c r="AQ9" s="125">
        <v>202832</v>
      </c>
      <c r="AR9" s="119">
        <f t="shared" si="4"/>
        <v>10141.6</v>
      </c>
      <c r="AS9" s="122">
        <f t="shared" si="5"/>
        <v>212973.6</v>
      </c>
      <c r="AT9" s="120">
        <v>198000</v>
      </c>
      <c r="AU9" s="121">
        <f t="shared" si="6"/>
        <v>-14973.600000000006</v>
      </c>
      <c r="AW9" s="75">
        <v>202832</v>
      </c>
    </row>
    <row r="10" spans="1:49" s="93" customFormat="1" ht="15.75" x14ac:dyDescent="0.25">
      <c r="A10" s="93" t="s">
        <v>52</v>
      </c>
      <c r="B10" s="94"/>
      <c r="C10" s="94"/>
      <c r="D10" s="95"/>
      <c r="E10" s="96"/>
      <c r="F10" s="95"/>
      <c r="G10" s="95"/>
      <c r="H10" s="97"/>
      <c r="I10" s="98"/>
      <c r="J10" s="99"/>
      <c r="K10" s="100"/>
      <c r="L10" s="101"/>
      <c r="M10" s="102"/>
      <c r="N10" s="102"/>
      <c r="O10" s="104"/>
      <c r="P10" s="104"/>
      <c r="Q10" s="104"/>
      <c r="R10" s="105"/>
      <c r="S10" s="103"/>
      <c r="T10" s="104"/>
      <c r="U10" s="106"/>
      <c r="V10" s="104"/>
      <c r="W10" s="104"/>
      <c r="Y10" s="127">
        <f>SUM(Y7:Y9)</f>
        <v>514</v>
      </c>
      <c r="Z10" s="127">
        <f t="shared" ref="Z10:AP10" si="23">SUM(Z7:Z9)</f>
        <v>17176</v>
      </c>
      <c r="AA10" s="127">
        <f t="shared" si="23"/>
        <v>1292</v>
      </c>
      <c r="AB10" s="127">
        <f t="shared" si="23"/>
        <v>0</v>
      </c>
      <c r="AC10" s="127">
        <f t="shared" si="23"/>
        <v>1593</v>
      </c>
      <c r="AD10" s="127">
        <f t="shared" si="23"/>
        <v>0</v>
      </c>
      <c r="AE10" s="127">
        <f t="shared" si="23"/>
        <v>436630</v>
      </c>
      <c r="AF10" s="127">
        <f t="shared" si="23"/>
        <v>0</v>
      </c>
      <c r="AG10" s="127">
        <f t="shared" si="23"/>
        <v>0</v>
      </c>
      <c r="AH10" s="127">
        <f t="shared" si="23"/>
        <v>68761</v>
      </c>
      <c r="AI10" s="127">
        <f t="shared" si="23"/>
        <v>0</v>
      </c>
      <c r="AJ10" s="127">
        <f t="shared" si="23"/>
        <v>0</v>
      </c>
      <c r="AK10" s="127">
        <f t="shared" si="23"/>
        <v>35805</v>
      </c>
      <c r="AL10" s="127">
        <f t="shared" si="23"/>
        <v>0</v>
      </c>
      <c r="AM10" s="127">
        <f t="shared" ca="1" si="23"/>
        <v>0</v>
      </c>
      <c r="AN10" s="127">
        <f t="shared" si="23"/>
        <v>0</v>
      </c>
      <c r="AO10" s="127">
        <f t="shared" si="23"/>
        <v>0</v>
      </c>
      <c r="AP10" s="127">
        <f t="shared" si="23"/>
        <v>21746.960629921257</v>
      </c>
      <c r="AQ10" s="128">
        <f ca="1">SUM(AQ7:AQ9)</f>
        <v>443576.22834645666</v>
      </c>
      <c r="AR10" s="129">
        <f ca="1">SUM(AR7:AR9)</f>
        <v>22178.811417322839</v>
      </c>
      <c r="AS10" s="123">
        <f t="shared" ca="1" si="5"/>
        <v>465755.0397637795</v>
      </c>
      <c r="AT10" s="123">
        <f>SUM(AT7:AT9)</f>
        <v>486000</v>
      </c>
      <c r="AU10" s="130">
        <f t="shared" ca="1" si="6"/>
        <v>20244.960236220504</v>
      </c>
    </row>
    <row r="11" spans="1:49" x14ac:dyDescent="0.25">
      <c r="A11" s="43" t="s">
        <v>15</v>
      </c>
      <c r="B11" s="44"/>
      <c r="C11" s="44"/>
      <c r="D11" s="44"/>
      <c r="E11" s="49" t="e">
        <f>94176/K11</f>
        <v>#REF!</v>
      </c>
      <c r="F11" s="50"/>
      <c r="G11" s="50"/>
      <c r="H11" s="44"/>
      <c r="I11" s="49"/>
      <c r="J11" s="68"/>
      <c r="K11" s="44" t="e">
        <f>SUM(#REF!)</f>
        <v>#REF!</v>
      </c>
      <c r="L11" s="56"/>
      <c r="M11" s="48" t="e">
        <f>AT11/K11</f>
        <v>#REF!</v>
      </c>
      <c r="N11" s="44"/>
      <c r="O11" s="51"/>
      <c r="P11" s="52"/>
      <c r="Q11" s="52"/>
      <c r="R11" s="48"/>
      <c r="S11" s="91" t="e">
        <f>Q11/K11</f>
        <v>#REF!</v>
      </c>
      <c r="T11" s="52"/>
      <c r="U11" s="52"/>
      <c r="V11" s="52"/>
      <c r="W11" s="60">
        <v>385</v>
      </c>
      <c r="X11" s="44"/>
      <c r="Y11" s="115">
        <v>0</v>
      </c>
      <c r="Z11" s="115">
        <f>49952-9690</f>
        <v>40262</v>
      </c>
      <c r="AA11" s="115">
        <v>14952</v>
      </c>
      <c r="AB11" s="115"/>
      <c r="AC11" s="115">
        <v>12243</v>
      </c>
      <c r="AD11" s="115">
        <v>0</v>
      </c>
      <c r="AE11" s="115">
        <v>23736</v>
      </c>
      <c r="AF11" s="115">
        <v>142616</v>
      </c>
      <c r="AG11" s="115"/>
      <c r="AH11" s="115">
        <f>141658+9690</f>
        <v>151348</v>
      </c>
      <c r="AI11" s="115"/>
      <c r="AJ11" s="115"/>
      <c r="AK11" s="115">
        <v>0</v>
      </c>
      <c r="AL11" s="115">
        <v>0</v>
      </c>
      <c r="AM11" s="115">
        <v>5666</v>
      </c>
      <c r="AN11" s="115"/>
      <c r="AO11" s="115"/>
      <c r="AP11" s="131">
        <v>0</v>
      </c>
      <c r="AQ11" s="116">
        <f>SUM(Y11:AP11)</f>
        <v>390823</v>
      </c>
      <c r="AR11" s="117">
        <v>0.05</v>
      </c>
      <c r="AS11" s="114"/>
      <c r="AT11" s="118" t="e">
        <f>SUM(#REF!)</f>
        <v>#REF!</v>
      </c>
      <c r="AU11" s="132" t="e">
        <f>SUM(#REF!)</f>
        <v>#REF!</v>
      </c>
    </row>
    <row r="12" spans="1:49" x14ac:dyDescent="0.25">
      <c r="D12" s="3">
        <v>2021</v>
      </c>
      <c r="E12" s="70">
        <v>4</v>
      </c>
      <c r="F12" s="71">
        <f>(E15-E12)/E15</f>
        <v>0.2</v>
      </c>
      <c r="K12" s="29"/>
      <c r="L12" s="29"/>
    </row>
    <row r="13" spans="1:49" x14ac:dyDescent="0.25">
      <c r="D13" s="3">
        <v>2022</v>
      </c>
      <c r="E13" s="70">
        <v>5</v>
      </c>
      <c r="F13" s="71">
        <v>0</v>
      </c>
      <c r="K13" s="29"/>
      <c r="L13" s="29"/>
    </row>
    <row r="14" spans="1:49" x14ac:dyDescent="0.25">
      <c r="D14" s="3">
        <v>2023</v>
      </c>
      <c r="E14" s="70">
        <v>5</v>
      </c>
      <c r="F14" s="71">
        <v>0</v>
      </c>
      <c r="K14" s="30"/>
      <c r="L14" s="30"/>
    </row>
    <row r="15" spans="1:49" x14ac:dyDescent="0.25">
      <c r="D15" s="3">
        <v>2024</v>
      </c>
      <c r="E15" s="70">
        <v>5</v>
      </c>
      <c r="F15" s="71">
        <v>0</v>
      </c>
      <c r="K15" s="15"/>
      <c r="L15" s="15"/>
    </row>
    <row r="21" spans="4:7" x14ac:dyDescent="0.25">
      <c r="D21" s="31"/>
      <c r="E21" s="31"/>
      <c r="F21" s="31"/>
      <c r="G21" s="31"/>
    </row>
    <row r="22" spans="4:7" x14ac:dyDescent="0.25">
      <c r="D22" s="31"/>
      <c r="E22" s="31"/>
      <c r="F22" s="31"/>
      <c r="G22" s="31"/>
    </row>
    <row r="23" spans="4:7" x14ac:dyDescent="0.25">
      <c r="D23" s="31"/>
      <c r="E23" s="31"/>
      <c r="F23" s="31"/>
      <c r="G23" s="31"/>
    </row>
    <row r="24" spans="4:7" x14ac:dyDescent="0.25">
      <c r="D24" s="31"/>
      <c r="E24" s="31"/>
      <c r="F24" s="31"/>
      <c r="G24" s="31"/>
    </row>
    <row r="25" spans="4:7" x14ac:dyDescent="0.25">
      <c r="D25" s="31"/>
      <c r="E25" s="31"/>
      <c r="F25" s="31"/>
      <c r="G25" s="31"/>
    </row>
    <row r="35" spans="3:8" x14ac:dyDescent="0.25">
      <c r="C35" s="32"/>
    </row>
    <row r="36" spans="3:8" x14ac:dyDescent="0.25">
      <c r="C36" s="32"/>
    </row>
    <row r="40" spans="3:8" x14ac:dyDescent="0.25">
      <c r="H40" s="33"/>
    </row>
    <row r="48" spans="3:8" x14ac:dyDescent="0.25">
      <c r="D48" s="34"/>
      <c r="E48" s="34"/>
      <c r="F48" s="34"/>
      <c r="G48" s="34"/>
    </row>
    <row r="52" spans="11:12" x14ac:dyDescent="0.25">
      <c r="K52" s="15"/>
      <c r="L52" s="15"/>
    </row>
    <row r="53" spans="11:12" x14ac:dyDescent="0.25">
      <c r="K53" s="15"/>
      <c r="L53" s="15"/>
    </row>
    <row r="54" spans="11:12" x14ac:dyDescent="0.25">
      <c r="K54" s="15"/>
      <c r="L54" s="15"/>
    </row>
  </sheetData>
  <mergeCells count="10">
    <mergeCell ref="AT4:AT5"/>
    <mergeCell ref="AU4:AU5"/>
    <mergeCell ref="E4:E5"/>
    <mergeCell ref="I4:I5"/>
    <mergeCell ref="M4:M5"/>
    <mergeCell ref="K4:K5"/>
    <mergeCell ref="G4:G5"/>
    <mergeCell ref="F4:F5"/>
    <mergeCell ref="C4:C5"/>
    <mergeCell ref="H4:H5"/>
  </mergeCell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2b0cf44-f626-4f13-b454-31091cec1cd2">
      <Terms xmlns="http://schemas.microsoft.com/office/infopath/2007/PartnerControls"/>
    </lcf76f155ced4ddcb4097134ff3c332f>
    <TaxCatchAll xmlns="66191fff-881e-4f09-9a88-dfd7f424b84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F82D89D2A6AE44B097D3DA8EEA1CA3" ma:contentTypeVersion="18" ma:contentTypeDescription="Opprett et nytt dokument." ma:contentTypeScope="" ma:versionID="9bf323d64c0814cb2e0564713fe45122">
  <xsd:schema xmlns:xsd="http://www.w3.org/2001/XMLSchema" xmlns:xs="http://www.w3.org/2001/XMLSchema" xmlns:p="http://schemas.microsoft.com/office/2006/metadata/properties" xmlns:ns2="66191fff-881e-4f09-9a88-dfd7f424b845" xmlns:ns3="e2b0cf44-f626-4f13-b454-31091cec1cd2" targetNamespace="http://schemas.microsoft.com/office/2006/metadata/properties" ma:root="true" ma:fieldsID="3ab058f8371f27fd79f9cec26efc6abe" ns2:_="" ns3:_="">
    <xsd:import namespace="66191fff-881e-4f09-9a88-dfd7f424b845"/>
    <xsd:import namespace="e2b0cf44-f626-4f13-b454-31091cec1cd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Tags" minOccurs="0"/>
                <xsd:element ref="ns3:MediaServiceOCR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191fff-881e-4f09-9a88-dfd7f424b84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00c84e7-41be-45fc-98a2-61078e92282a}" ma:internalName="TaxCatchAll" ma:showField="CatchAllData" ma:web="66191fff-881e-4f09-9a88-dfd7f424b8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b0cf44-f626-4f13-b454-31091cec1c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95d02195-40a4-4fd2-9156-8c9bf38064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55EF0C-072F-46CA-9C62-389C4655B079}">
  <ds:schemaRefs>
    <ds:schemaRef ds:uri="http://schemas.microsoft.com/office/infopath/2007/PartnerControls"/>
    <ds:schemaRef ds:uri="http://purl.org/dc/terms/"/>
    <ds:schemaRef ds:uri="e2b0cf44-f626-4f13-b454-31091cec1cd2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66191fff-881e-4f09-9a88-dfd7f424b84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330BC50-8CD7-46A3-9870-6356AEB654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8F6383-E13E-44CD-9E75-7D9CE5E11F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191fff-881e-4f09-9a88-dfd7f424b845"/>
    <ds:schemaRef ds:uri="e2b0cf44-f626-4f13-b454-31091cec1c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Petter Markestad</dc:creator>
  <cp:lastModifiedBy>Grethe Solberg</cp:lastModifiedBy>
  <dcterms:created xsi:type="dcterms:W3CDTF">2025-04-29T15:15:36Z</dcterms:created>
  <dcterms:modified xsi:type="dcterms:W3CDTF">2025-05-08T06:16:38Z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0x01010002F82D89D2A6AE44B097D3DA8EEA1CA3</vt:lpwstr>
  </property>
  <property fmtid="{D5CDD505-2E9C-101B-9397-08002B2CF9AE}" pid="3" name="MediaServiceImageTags">
    <vt:lpwstr/>
  </property>
</Properties>
</file>