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10" documentId="13_ncr:1_{619FBB93-C1C1-4090-B06A-681EF6F2AA19}" xr6:coauthVersionLast="47" xr6:coauthVersionMax="47" xr10:uidLastSave="{DE76E58A-50E5-4815-938F-E0F3CD304B20}"/>
  <bookViews>
    <workbookView xWindow="-120" yWindow="-120" windowWidth="38640" windowHeight="21120" xr2:uid="{2A96B8FE-C1F6-40C3-85CF-3AD23D729B30}"/>
  </bookViews>
  <sheets>
    <sheet name="PT" sheetId="3" r:id="rId1"/>
    <sheet name="Black Cohosh Report" sheetId="1" r:id="rId2"/>
    <sheet name="Sheet1" sheetId="2" r:id="rId3"/>
  </sheets>
  <definedNames>
    <definedName name="_xlnm._FilterDatabase" localSheetId="1" hidden="1">'Black Cohosh Report'!$A$2:$F$226</definedName>
  </definedNames>
  <calcPr calcId="191029"/>
  <pivotCaches>
    <pivotCache cacheId="1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J3" i="1"/>
  <c r="J4" i="1"/>
  <c r="T24" i="1"/>
  <c r="T25" i="1"/>
  <c r="T26" i="1"/>
  <c r="T27" i="1"/>
  <c r="T28" i="1"/>
  <c r="T29" i="1"/>
  <c r="S24" i="1"/>
  <c r="S25" i="1"/>
  <c r="S26" i="1"/>
  <c r="S27" i="1"/>
  <c r="S28" i="1"/>
  <c r="S29" i="1"/>
  <c r="R24" i="1"/>
  <c r="R25" i="1"/>
  <c r="R26" i="1"/>
  <c r="R27" i="1"/>
  <c r="R28" i="1"/>
  <c r="R29" i="1"/>
  <c r="Q24" i="1"/>
  <c r="Q25" i="1"/>
  <c r="Q26" i="1"/>
  <c r="Q27" i="1"/>
  <c r="Q28" i="1"/>
  <c r="Q29" i="1"/>
  <c r="P24" i="1"/>
  <c r="P25" i="1"/>
  <c r="P26" i="1"/>
  <c r="P27" i="1"/>
  <c r="P28" i="1"/>
  <c r="P29" i="1"/>
  <c r="O24" i="1"/>
  <c r="O25" i="1"/>
  <c r="O26" i="1"/>
  <c r="O27" i="1"/>
  <c r="O28" i="1"/>
  <c r="O29" i="1"/>
  <c r="N24" i="1"/>
  <c r="N25" i="1"/>
  <c r="N26" i="1"/>
  <c r="N27" i="1"/>
  <c r="N28" i="1"/>
  <c r="N29" i="1"/>
  <c r="M24" i="1"/>
  <c r="M25" i="1"/>
  <c r="M26" i="1"/>
  <c r="M27" i="1"/>
  <c r="M28" i="1"/>
  <c r="M29" i="1"/>
  <c r="L24" i="1"/>
  <c r="L25" i="1"/>
  <c r="L26" i="1"/>
  <c r="L27" i="1"/>
  <c r="L28" i="1"/>
  <c r="L29" i="1"/>
  <c r="K24" i="1"/>
  <c r="K25" i="1"/>
  <c r="K26" i="1"/>
  <c r="K27" i="1"/>
  <c r="K28" i="1"/>
  <c r="K29" i="1"/>
  <c r="J24" i="1"/>
  <c r="J25" i="1"/>
  <c r="J26" i="1"/>
  <c r="J27" i="1"/>
  <c r="J28" i="1"/>
  <c r="J29" i="1"/>
  <c r="I24" i="1"/>
  <c r="I25" i="1"/>
  <c r="I26" i="1"/>
  <c r="I27" i="1"/>
  <c r="I28" i="1"/>
  <c r="I29" i="1"/>
  <c r="I3" i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U31" i="1" l="1"/>
  <c r="T8" i="1"/>
  <c r="S8" i="1"/>
  <c r="R8" i="1"/>
  <c r="Q8" i="1"/>
  <c r="P8" i="1"/>
  <c r="O8" i="1"/>
  <c r="N8" i="1"/>
  <c r="M8" i="1"/>
  <c r="L8" i="1"/>
  <c r="K8" i="1"/>
  <c r="J6" i="1"/>
  <c r="J8" i="1"/>
  <c r="I8" i="1"/>
  <c r="L30" i="1" l="1"/>
  <c r="I30" i="1"/>
  <c r="Q30" i="1"/>
  <c r="M30" i="1"/>
  <c r="J30" i="1"/>
  <c r="K30" i="1"/>
  <c r="U29" i="1"/>
  <c r="U26" i="1"/>
  <c r="U27" i="1"/>
  <c r="U25" i="1"/>
  <c r="U28" i="1"/>
  <c r="T30" i="1"/>
  <c r="R30" i="1"/>
  <c r="P30" i="1"/>
  <c r="S30" i="1"/>
  <c r="U24" i="1"/>
  <c r="N30" i="1"/>
  <c r="O30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J5" i="1" s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O5" i="1" s="1"/>
  <c r="C124" i="1"/>
  <c r="C125" i="1"/>
  <c r="C126" i="1"/>
  <c r="C127" i="1"/>
  <c r="C128" i="1"/>
  <c r="Q5" i="1" s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L6" i="1" s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Q6" i="1" s="1"/>
  <c r="C173" i="1"/>
  <c r="C174" i="1"/>
  <c r="C175" i="1"/>
  <c r="C176" i="1"/>
  <c r="C177" i="1"/>
  <c r="C178" i="1"/>
  <c r="C179" i="1"/>
  <c r="S6" i="1" s="1"/>
  <c r="C180" i="1"/>
  <c r="T6" i="1" s="1"/>
  <c r="C181" i="1"/>
  <c r="I7" i="1" s="1"/>
  <c r="C182" i="1"/>
  <c r="C183" i="1"/>
  <c r="C184" i="1"/>
  <c r="K7" i="1" s="1"/>
  <c r="C185" i="1"/>
  <c r="C186" i="1"/>
  <c r="C187" i="1"/>
  <c r="C188" i="1"/>
  <c r="M7" i="1" s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T7" i="1" s="1"/>
  <c r="M4" i="1" l="1"/>
  <c r="P4" i="1"/>
  <c r="K6" i="1"/>
  <c r="M5" i="1"/>
  <c r="O7" i="1"/>
  <c r="J7" i="1"/>
  <c r="R4" i="1"/>
  <c r="T3" i="1"/>
  <c r="Q3" i="1"/>
  <c r="S7" i="1"/>
  <c r="N6" i="1"/>
  <c r="K4" i="1"/>
  <c r="N3" i="1"/>
  <c r="N7" i="1"/>
  <c r="K3" i="1"/>
  <c r="I10" i="1" a="1"/>
  <c r="I10" i="1" s="1"/>
  <c r="N10" i="1" a="1"/>
  <c r="N10" i="1" s="1"/>
  <c r="M10" i="1" a="1"/>
  <c r="M10" i="1" s="1"/>
  <c r="L10" i="1" a="1"/>
  <c r="L10" i="1" s="1"/>
  <c r="K10" i="1" a="1"/>
  <c r="K10" i="1" s="1"/>
  <c r="J10" i="1" a="1"/>
  <c r="J10" i="1" s="1"/>
  <c r="T10" i="1" a="1"/>
  <c r="T10" i="1" s="1"/>
  <c r="S10" i="1" a="1"/>
  <c r="S10" i="1" s="1"/>
  <c r="R10" i="1" a="1"/>
  <c r="R10" i="1" s="1"/>
  <c r="Q10" i="1" a="1"/>
  <c r="Q10" i="1" s="1"/>
  <c r="P10" i="1" a="1"/>
  <c r="P10" i="1" s="1"/>
  <c r="O10" i="1" a="1"/>
  <c r="O10" i="1" s="1"/>
  <c r="U30" i="1"/>
  <c r="I5" i="1"/>
  <c r="O4" i="1"/>
  <c r="Q7" i="1"/>
  <c r="L5" i="1"/>
  <c r="P3" i="1"/>
  <c r="I6" i="1"/>
  <c r="N5" i="1"/>
  <c r="S3" i="1"/>
  <c r="M3" i="1"/>
  <c r="Q4" i="1"/>
  <c r="T5" i="1"/>
  <c r="R5" i="1"/>
  <c r="K5" i="1"/>
  <c r="T4" i="1"/>
  <c r="I4" i="1"/>
  <c r="O6" i="1"/>
  <c r="L4" i="1"/>
  <c r="L3" i="1"/>
  <c r="P6" i="1"/>
  <c r="R7" i="1"/>
  <c r="R6" i="1"/>
  <c r="N4" i="1"/>
  <c r="O3" i="1"/>
  <c r="P7" i="1"/>
  <c r="L7" i="1"/>
  <c r="S4" i="1"/>
  <c r="R3" i="1"/>
  <c r="S5" i="1"/>
  <c r="P5" i="1"/>
  <c r="U11" i="1" l="1"/>
  <c r="U10" i="1"/>
  <c r="M9" i="1"/>
  <c r="N9" i="1"/>
  <c r="I9" i="1"/>
  <c r="T9" i="1"/>
  <c r="O9" i="1"/>
  <c r="P9" i="1"/>
  <c r="L9" i="1"/>
  <c r="R9" i="1"/>
  <c r="Q9" i="1"/>
  <c r="S9" i="1"/>
  <c r="J9" i="1"/>
  <c r="K9" i="1"/>
  <c r="U3" i="1"/>
  <c r="U4" i="1"/>
  <c r="U5" i="1"/>
  <c r="U6" i="1"/>
  <c r="U7" i="1"/>
  <c r="U8" i="1"/>
  <c r="U9" i="1" l="1"/>
  <c r="U13" i="1" s="1"/>
  <c r="U15" i="1" l="1"/>
  <c r="U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<sst xmlns="http://schemas.openxmlformats.org/spreadsheetml/2006/main" count="669" uniqueCount="104">
  <si>
    <t>Date</t>
  </si>
  <si>
    <t>Qty</t>
  </si>
  <si>
    <t>U/M</t>
  </si>
  <si>
    <t>Cost Price</t>
  </si>
  <si>
    <t>Amount</t>
  </si>
  <si>
    <t>lb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</si>
  <si>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</si>
  <si>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</si>
  <si>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</si>
  <si>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</si>
  <si>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</si>
  <si>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</si>
  <si>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</si>
  <si>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</si>
  <si>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</si>
  <si>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</si>
  <si>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</si>
  <si>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</si>
  <si>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Vendor</t>
  </si>
  <si>
    <t>TOTALS:</t>
  </si>
  <si>
    <t>Spend ($/lb)</t>
  </si>
  <si>
    <t>ALL VENDOR TOTALS:</t>
  </si>
  <si>
    <t>Vendor Percent by month/total:</t>
  </si>
  <si>
    <t>Total Average amount purchased per month</t>
  </si>
  <si>
    <t>Vendor Average amount purchased per month</t>
  </si>
  <si>
    <t>Year</t>
  </si>
  <si>
    <t>Total</t>
  </si>
  <si>
    <t>Annual Average by Vendor/Year</t>
  </si>
  <si>
    <t>The vendor percentage of the total per month. / Example: Vendor A accounts for 10% of all product bought in January.</t>
  </si>
  <si>
    <t>All Formulas should not count for 0 values or for future dates.</t>
  </si>
  <si>
    <t>TOTAL Spent ALL Vendors</t>
  </si>
  <si>
    <t>Average Spent Per month/All vendors</t>
  </si>
  <si>
    <t>Total Spent Per month per vendor</t>
  </si>
  <si>
    <t>Average Spent Per month/per lb/ all vendors</t>
  </si>
  <si>
    <t>Average Spent Per month/per lb/ per vendors</t>
  </si>
  <si>
    <t>The average total spent per month for ALL vendors / Example: In January an average of $100,000 is spent</t>
  </si>
  <si>
    <t>The average total spent per month per lb for ALL vendors / Example: In January the average price is 7.22 per lb</t>
  </si>
  <si>
    <t>The average total spent per month per vendors / Example: Vendor A sells an Average of $10,000 in January</t>
  </si>
  <si>
    <t>The average total spent per month per vendors / Example: Vendor A sells an Average of $10.01 per lb in January</t>
  </si>
  <si>
    <t>&lt;&lt;&lt;Total Average Per month for all vendors. / Example: Our average spend is $8.72 per month per lb</t>
  </si>
  <si>
    <t>&lt;&lt;&lt;Total Average Per month for all vendors. / Example: Our average spend is $120,000 per month</t>
  </si>
  <si>
    <t>&lt;&lt;&lt;Total Average Per month per vendors. / Example: Our average spend is $11,000 per month per vendor</t>
  </si>
  <si>
    <t>&lt;&lt;&lt;Total Average Per month per vendors per pound. / Example: Our average spend is $9.98 per month per vendor</t>
  </si>
  <si>
    <t>Russell Crowe</t>
  </si>
  <si>
    <t>Alfred Blue</t>
  </si>
  <si>
    <t>Richard Sherman</t>
  </si>
  <si>
    <t xml:space="preserve"> Montaric Brown</t>
  </si>
  <si>
    <t>Terry Bradshaw</t>
  </si>
  <si>
    <t>Quintin Dove</t>
  </si>
  <si>
    <t>Johnathan Boring</t>
  </si>
  <si>
    <t>Vance McDonald</t>
  </si>
  <si>
    <t>Jonathan Mingo</t>
  </si>
  <si>
    <t>John Wall</t>
  </si>
  <si>
    <t>Shedeur Sanders</t>
  </si>
  <si>
    <t>Joe Girardi</t>
  </si>
  <si>
    <t>Lebron James</t>
  </si>
  <si>
    <t>Josh Hines-Allen</t>
  </si>
  <si>
    <t>Charles Barkley</t>
  </si>
  <si>
    <t>Michael Jordan</t>
  </si>
  <si>
    <t>Scott Hall</t>
  </si>
  <si>
    <t>Fletcher Cox</t>
  </si>
  <si>
    <t>Tim Duncan</t>
  </si>
  <si>
    <t>Trever Lawrence</t>
  </si>
  <si>
    <t>Jesse Minter</t>
  </si>
  <si>
    <t>Lesean McCoy</t>
  </si>
  <si>
    <t>Nick Mangold</t>
  </si>
  <si>
    <t>Dennis Rodman</t>
  </si>
  <si>
    <t>Wes Welker</t>
  </si>
  <si>
    <t>Oliver Martin</t>
  </si>
  <si>
    <t>This shouldn’t change when a different vendor is selected. / Example: 10,000 lbs are purchased on average in January</t>
  </si>
  <si>
    <t>Total Vendor Percent by month:</t>
  </si>
  <si>
    <t>This shouldn’t change when a different vendor is selected. / Example: 13% is purchased in January.</t>
  </si>
  <si>
    <t>&lt;&lt;&lt;The vendor total percentage. / Example: Vendor A accounts for 22% if all prodyct bought</t>
  </si>
  <si>
    <t>The average amount the vendor sells in each month. / Vendor A  sells an average of 1,000 lbs in the month of January.</t>
  </si>
  <si>
    <t>&lt;&lt;&lt;The vendor total average. / Example: Vendor A sells an average of 1,200 lbs a month</t>
  </si>
  <si>
    <t>The average amount purchased from the vendor yearly. Would ideally like to place this information in row V / Example: Vendor A sells an average of 11,000 lbs a year</t>
  </si>
  <si>
    <t>Grand Total</t>
  </si>
  <si>
    <t>2020</t>
  </si>
  <si>
    <t>2021</t>
  </si>
  <si>
    <t>2022</t>
  </si>
  <si>
    <t>2023</t>
  </si>
  <si>
    <t>2024</t>
  </si>
  <si>
    <t>Jan</t>
  </si>
  <si>
    <t>Feb</t>
  </si>
  <si>
    <t>Mar</t>
  </si>
  <si>
    <t>Apr</t>
  </si>
  <si>
    <t>Jun</t>
  </si>
  <si>
    <t>Jul</t>
  </si>
  <si>
    <t>Aug</t>
  </si>
  <si>
    <t>Sept</t>
  </si>
  <si>
    <t>Oct</t>
  </si>
  <si>
    <t>Nov</t>
  </si>
  <si>
    <t>Dec</t>
  </si>
  <si>
    <t>Sum of Qty</t>
  </si>
  <si>
    <t>All Vendors - Qty</t>
  </si>
  <si>
    <t>Month</t>
  </si>
  <si>
    <t xml:space="preserve"> Vendor</t>
  </si>
  <si>
    <t xml:space="preserve"> Year</t>
  </si>
  <si>
    <t>Sum of Amount</t>
  </si>
  <si>
    <t>All Vendors - Amount</t>
  </si>
  <si>
    <t xml:space="preserve"> % of Total</t>
  </si>
  <si>
    <t>% of Total</t>
  </si>
  <si>
    <t>Years (Date)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</si>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</sst>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\ dd\,\ yyyy"/>
    <numFmt numFmtId="165" formatCode="mmmm"/>
    <numFmt numFmtId="166" formatCode="&quot;$&quot;#,##0.00"/>
    <numFmt numFmtId="167" formatCode="0.000%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0" fontId="20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0" borderId="19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0" borderId="2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5" fontId="20" fillId="0" borderId="31" xfId="0" applyNumberFormat="1" applyFont="1" applyBorder="1" applyAlignment="1">
      <alignment horizontal="center" vertical="center"/>
    </xf>
    <xf numFmtId="165" fontId="20" fillId="0" borderId="32" xfId="0" applyNumberFormat="1" applyFont="1" applyBorder="1" applyAlignment="1">
      <alignment horizontal="center" vertical="center"/>
    </xf>
    <xf numFmtId="165" fontId="20" fillId="0" borderId="33" xfId="0" applyNumberFormat="1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35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7" xfId="0" applyNumberForma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9" xfId="0" applyNumberForma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 wrapText="1"/>
    </xf>
    <xf numFmtId="2" fontId="0" fillId="0" borderId="41" xfId="0" applyNumberForma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 wrapText="1"/>
    </xf>
    <xf numFmtId="9" fontId="0" fillId="0" borderId="17" xfId="42" applyFont="1" applyBorder="1" applyAlignment="1">
      <alignment horizontal="center" vertical="center"/>
    </xf>
    <xf numFmtId="10" fontId="0" fillId="0" borderId="17" xfId="0" applyNumberForma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2" fontId="0" fillId="0" borderId="44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9" fontId="0" fillId="0" borderId="45" xfId="42" applyFont="1" applyBorder="1" applyAlignment="1">
      <alignment horizontal="center" vertical="center"/>
    </xf>
    <xf numFmtId="10" fontId="0" fillId="0" borderId="45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2" fontId="16" fillId="33" borderId="20" xfId="0" applyNumberFormat="1" applyFont="1" applyFill="1" applyBorder="1" applyAlignment="1">
      <alignment horizontal="center" vertical="center"/>
    </xf>
    <xf numFmtId="2" fontId="0" fillId="33" borderId="21" xfId="0" applyNumberFormat="1" applyFill="1" applyBorder="1" applyAlignment="1">
      <alignment horizontal="center" vertical="center"/>
    </xf>
    <xf numFmtId="167" fontId="0" fillId="0" borderId="21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left" vertical="center"/>
    </xf>
    <xf numFmtId="10" fontId="0" fillId="0" borderId="17" xfId="0" applyNumberFormat="1" applyBorder="1" applyAlignment="1">
      <alignment horizontal="left" vertical="center"/>
    </xf>
    <xf numFmtId="2" fontId="0" fillId="0" borderId="19" xfId="0" applyNumberFormat="1" applyBorder="1" applyAlignment="1">
      <alignment horizontal="left" vertical="center"/>
    </xf>
    <xf numFmtId="166" fontId="0" fillId="0" borderId="13" xfId="0" applyNumberFormat="1" applyBorder="1" applyAlignment="1">
      <alignment horizontal="center" vertical="center"/>
    </xf>
    <xf numFmtId="166" fontId="0" fillId="0" borderId="26" xfId="0" applyNumberFormat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6" fontId="0" fillId="0" borderId="17" xfId="0" applyNumberFormat="1" applyBorder="1" applyAlignment="1">
      <alignment horizontal="center" vertical="center"/>
    </xf>
    <xf numFmtId="166" fontId="0" fillId="0" borderId="18" xfId="0" applyNumberFormat="1" applyBorder="1" applyAlignment="1">
      <alignment horizontal="center" vertical="center"/>
    </xf>
    <xf numFmtId="166" fontId="0" fillId="0" borderId="27" xfId="0" applyNumberFormat="1" applyBorder="1" applyAlignment="1">
      <alignment horizontal="center" vertical="center"/>
    </xf>
    <xf numFmtId="166" fontId="0" fillId="0" borderId="34" xfId="0" applyNumberFormat="1" applyBorder="1" applyAlignment="1">
      <alignment horizontal="center" vertical="center"/>
    </xf>
    <xf numFmtId="166" fontId="0" fillId="0" borderId="35" xfId="0" applyNumberFormat="1" applyBorder="1" applyAlignment="1">
      <alignment horizontal="center" vertical="center"/>
    </xf>
    <xf numFmtId="166" fontId="0" fillId="0" borderId="36" xfId="0" applyNumberFormat="1" applyBorder="1" applyAlignment="1">
      <alignment horizontal="center" vertical="center"/>
    </xf>
    <xf numFmtId="166" fontId="0" fillId="0" borderId="37" xfId="0" applyNumberFormat="1" applyBorder="1" applyAlignment="1">
      <alignment horizontal="center" vertical="center"/>
    </xf>
    <xf numFmtId="166" fontId="0" fillId="0" borderId="39" xfId="0" applyNumberFormat="1" applyBorder="1" applyAlignment="1">
      <alignment horizontal="center" vertical="center"/>
    </xf>
    <xf numFmtId="166" fontId="0" fillId="0" borderId="41" xfId="0" applyNumberFormat="1" applyBorder="1" applyAlignment="1">
      <alignment horizontal="center" vertical="center"/>
    </xf>
    <xf numFmtId="166" fontId="0" fillId="0" borderId="4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6" fontId="0" fillId="0" borderId="48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166" fontId="16" fillId="33" borderId="49" xfId="0" applyNumberFormat="1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22" fillId="0" borderId="0" xfId="0" applyFont="1"/>
    <xf numFmtId="0" fontId="0" fillId="0" borderId="0" xfId="0" applyAlignment="1">
      <alignment horizontal="right"/>
    </xf>
    <xf numFmtId="10" fontId="0" fillId="0" borderId="0" xfId="0" applyNumberFormat="1"/>
    <xf numFmtId="0" fontId="19" fillId="0" borderId="1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21" fillId="0" borderId="47" xfId="0" applyNumberFormat="1" applyFont="1" applyBorder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0" fontId="0" fillId="0" borderId="0" xfId="0" applyAlignment="1"/>
    <xf numFmtId="9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93">
    <dxf>
      <alignment horizontal="general"/>
    </dxf>
    <dxf>
      <numFmt numFmtId="13" formatCode="0%"/>
    </dxf>
    <dxf>
      <alignment horizontal="right"/>
    </dxf>
    <dxf>
      <alignment horizontal="general"/>
    </dxf>
    <dxf>
      <numFmt numFmtId="14" formatCode="0.00%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general"/>
    </dxf>
    <dxf>
      <numFmt numFmtId="13" formatCode="0%"/>
    </dxf>
    <dxf>
      <alignment horizontal="general"/>
    </dxf>
    <dxf>
      <numFmt numFmtId="14" formatCode="0.00%"/>
    </dxf>
    <dxf>
      <numFmt numFmtId="14" formatCode="0.00%"/>
    </dxf>
    <dxf>
      <numFmt numFmtId="13" formatCode="0%"/>
    </dxf>
    <dxf>
      <alignment horizontal="general"/>
    </dxf>
    <dxf>
      <numFmt numFmtId="14" formatCode="0.00%"/>
    </dxf>
    <dxf>
      <alignment horizontal="general"/>
    </dxf>
    <dxf>
      <alignment horizontal="general"/>
    </dxf>
    <dxf>
      <alignment horizontal="general"/>
    </dxf>
    <dxf>
      <numFmt numFmtId="14" formatCode="0.00%"/>
    </dxf>
    <dxf>
      <alignment horizontal="general"/>
    </dxf>
    <dxf>
      <numFmt numFmtId="14" formatCode="0.00%"/>
    </dxf>
    <dxf>
      <alignment horizontal="general"/>
    </dxf>
    <dxf>
      <fill>
        <patternFill>
          <bgColor rgb="FFFFFF00"/>
        </patternFill>
      </fill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/>
        <top/>
        <bottom style="thick">
          <color auto="1"/>
        </bottom>
        <vertical/>
        <horizontal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ck">
          <color auto="1"/>
        </left>
        <right/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ck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166" formatCode="&quot;$&quot;#,##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5" formatCode="mmmm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ck">
          <color auto="1"/>
        </left>
        <right/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ck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165" formatCode="mmmm"/>
      <alignment horizontal="center" vertical="center" textRotation="0" wrapText="0" indent="0" justifyLastLine="0" shrinkToFit="0" readingOrder="0"/>
    </dxf>
    <dxf>
      <alignment horizontal="right"/>
    </dxf>
    <dxf>
      <alignment horizontal="general"/>
    </dxf>
    <dxf>
      <numFmt numFmtId="3" formatCode="#,##0"/>
    </dxf>
    <dxf>
      <alignment horizontal="right"/>
    </dxf>
    <dxf>
      <alignment horizontal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5667.378252662034" missingItemsLimit="0" createdVersion="8" refreshedVersion="8" minRefreshableVersion="3" recordCount="220" xr:uid="{F1264EC9-4FE9-4A9F-9D82-A715795D982F}">
  <cacheSource type="worksheet">
    <worksheetSource ref="A2:F222" sheet="Black Cohosh Report"/>
  </cacheSource>
  <cacheFields count="9">
    <cacheField name="Date" numFmtId="14">
      <sharedItems containsSemiMixedTypes="0" containsNonDate="0" containsDate="1" containsString="0" minDate="2020-02-06T00:00:00" maxDate="2024-12-18T00:00:00" count="172">
        <d v="2020-02-06T00:00:00"/>
        <d v="2020-02-12T00:00:00"/>
        <d v="2020-02-17T00:00:00"/>
        <d v="2020-03-02T00:00:00"/>
        <d v="2020-03-16T00:00:00"/>
        <d v="2020-04-06T00:00:00"/>
        <d v="2020-04-21T00:00:00"/>
        <d v="2020-04-29T00:00:00"/>
        <d v="2020-05-04T00:00:00"/>
        <d v="2020-05-07T00:00:00"/>
        <d v="2020-05-28T00:00:00"/>
        <d v="2020-06-02T00:00:00"/>
        <d v="2020-06-10T00:00:00"/>
        <d v="2020-06-15T00:00:00"/>
        <d v="2020-06-25T00:00:00"/>
        <d v="2020-07-13T00:00:00"/>
        <d v="2020-07-21T00:00:00"/>
        <d v="2020-07-28T00:00:00"/>
        <d v="2020-07-29T00:00:00"/>
        <d v="2020-08-11T00:00:00"/>
        <d v="2020-08-27T00:00:00"/>
        <d v="2020-09-09T00:00:00"/>
        <d v="2020-09-21T00:00:00"/>
        <d v="2020-10-01T00:00:00"/>
        <d v="2020-10-07T00:00:00"/>
        <d v="2020-10-26T00:00:00"/>
        <d v="2020-10-27T00:00:00"/>
        <d v="2020-11-09T00:00:00"/>
        <d v="2020-11-30T00:00:00"/>
        <d v="2020-12-03T00:00:00"/>
        <d v="2020-12-07T00:00:00"/>
        <d v="2020-12-15T00:00:00"/>
        <d v="2020-12-28T00:00:00"/>
        <d v="2020-12-30T00:00:00"/>
        <d v="2021-01-14T00:00:00"/>
        <d v="2021-02-09T00:00:00"/>
        <d v="2021-03-23T00:00:00"/>
        <d v="2021-04-12T00:00:00"/>
        <d v="2021-04-19T00:00:00"/>
        <d v="2021-04-21T00:00:00"/>
        <d v="2021-04-26T00:00:00"/>
        <d v="2021-05-11T00:00:00"/>
        <d v="2021-05-24T00:00:00"/>
        <d v="2021-05-27T00:00:00"/>
        <d v="2021-06-01T00:00:00"/>
        <d v="2021-06-07T00:00:00"/>
        <d v="2021-06-10T00:00:00"/>
        <d v="2021-06-18T00:00:00"/>
        <d v="2021-06-28T00:00:00"/>
        <d v="2021-06-30T00:00:00"/>
        <d v="2021-07-01T00:00:00"/>
        <d v="2021-07-07T00:00:00"/>
        <d v="2021-07-19T00:00:00"/>
        <d v="2021-07-21T00:00:00"/>
        <d v="2021-07-26T00:00:00"/>
        <d v="2021-08-13T00:00:00"/>
        <d v="2021-08-18T00:00:00"/>
        <d v="2021-08-25T00:00:00"/>
        <d v="2021-09-02T00:00:00"/>
        <d v="2021-09-09T00:00:00"/>
        <d v="2021-09-14T00:00:00"/>
        <d v="2021-09-22T00:00:00"/>
        <d v="2021-10-11T00:00:00"/>
        <d v="2021-10-18T00:00:00"/>
        <d v="2021-11-02T00:00:00"/>
        <d v="2021-11-12T00:00:00"/>
        <d v="2021-11-22T00:00:00"/>
        <d v="2021-12-07T00:00:00"/>
        <d v="2021-12-21T00:00:00"/>
        <d v="2021-12-28T00:00:00"/>
        <d v="2022-01-04T00:00:00"/>
        <d v="2022-01-06T00:00:00"/>
        <d v="2022-01-19T00:00:00"/>
        <d v="2022-02-15T00:00:00"/>
        <d v="2022-03-04T00:00:00"/>
        <d v="2022-03-14T00:00:00"/>
        <d v="2022-04-05T00:00:00"/>
        <d v="2022-04-11T00:00:00"/>
        <d v="2022-04-27T00:00:00"/>
        <d v="2022-04-28T00:00:00"/>
        <d v="2022-04-29T00:00:00"/>
        <d v="2022-05-10T00:00:00"/>
        <d v="2022-05-11T00:00:00"/>
        <d v="2022-05-13T00:00:00"/>
        <d v="2022-05-25T00:00:00"/>
        <d v="2022-05-31T00:00:00"/>
        <d v="2022-06-01T00:00:00"/>
        <d v="2022-06-02T00:00:00"/>
        <d v="2022-06-13T00:00:00"/>
        <d v="2022-06-24T00:00:00"/>
        <d v="2022-07-22T00:00:00"/>
        <d v="2022-08-12T00:00:00"/>
        <d v="2022-08-15T00:00:00"/>
        <d v="2022-08-31T00:00:00"/>
        <d v="2022-09-07T00:00:00"/>
        <d v="2022-10-11T00:00:00"/>
        <d v="2022-10-12T00:00:00"/>
        <d v="2022-10-13T00:00:00"/>
        <d v="2022-10-18T00:00:00"/>
        <d v="2022-10-20T00:00:00"/>
        <d v="2022-10-25T00:00:00"/>
        <d v="2022-11-04T00:00:00"/>
        <d v="2022-11-10T00:00:00"/>
        <d v="2022-11-16T00:00:00"/>
        <d v="2022-11-17T00:00:00"/>
        <d v="2022-11-28T00:00:00"/>
        <d v="2022-12-19T00:00:00"/>
        <d v="2023-01-11T00:00:00"/>
        <d v="2023-01-25T00:00:00"/>
        <d v="2023-01-26T00:00:00"/>
        <d v="2023-01-30T00:00:00"/>
        <d v="2023-03-06T00:00:00"/>
        <d v="2023-03-15T00:00:00"/>
        <d v="2023-03-23T00:00:00"/>
        <d v="2023-04-06T00:00:00"/>
        <d v="2023-04-27T00:00:00"/>
        <d v="2023-05-10T00:00:00"/>
        <d v="2023-05-12T00:00:00"/>
        <d v="2023-05-25T00:00:00"/>
        <d v="2023-05-30T00:00:00"/>
        <d v="2023-06-05T00:00:00"/>
        <d v="2023-06-13T00:00:00"/>
        <d v="2023-06-15T00:00:00"/>
        <d v="2023-06-16T00:00:00"/>
        <d v="2023-07-12T00:00:00"/>
        <d v="2023-07-20T00:00:00"/>
        <d v="2023-07-24T00:00:00"/>
        <d v="2023-07-28T00:00:00"/>
        <d v="2023-08-01T00:00:00"/>
        <d v="2023-08-09T00:00:00"/>
        <d v="2023-08-21T00:00:00"/>
        <d v="2023-09-05T00:00:00"/>
        <d v="2023-09-19T00:00:00"/>
        <d v="2023-09-26T00:00:00"/>
        <d v="2023-10-10T00:00:00"/>
        <d v="2023-10-17T00:00:00"/>
        <d v="2023-10-19T00:00:00"/>
        <d v="2023-10-30T00:00:00"/>
        <d v="2023-11-01T00:00:00"/>
        <d v="2023-12-18T00:00:00"/>
        <d v="2024-01-31T00:00:00"/>
        <d v="2024-02-01T00:00:00"/>
        <d v="2024-02-06T00:00:00"/>
        <d v="2024-03-14T00:00:00"/>
        <d v="2024-03-28T00:00:00"/>
        <d v="2024-04-15T00:00:00"/>
        <d v="2024-04-16T00:00:00"/>
        <d v="2024-05-14T00:00:00"/>
        <d v="2024-05-21T00:00:00"/>
        <d v="2024-06-06T00:00:00"/>
        <d v="2024-06-20T00:00:00"/>
        <d v="2024-06-26T00:00:00"/>
        <d v="2024-06-28T00:00:00"/>
        <d v="2024-07-15T00:00:00"/>
        <d v="2024-07-29T00:00:00"/>
        <d v="2024-07-30T00:00:00"/>
        <d v="2024-08-06T00:00:00"/>
        <d v="2024-08-12T00:00:00"/>
        <d v="2024-08-27T00:00:00"/>
        <d v="2024-08-29T00:00:00"/>
        <d v="2024-09-05T00:00:00"/>
        <d v="2024-09-11T00:00:00"/>
        <d v="2024-09-16T00:00:00"/>
        <d v="2024-09-23T00:00:00"/>
        <d v="2024-09-24T00:00:00"/>
        <d v="2024-10-08T00:00:00"/>
        <d v="2024-10-14T00:00:00"/>
        <d v="2024-10-18T00:00:00"/>
        <d v="2024-10-21T00:00:00"/>
        <d v="2024-10-30T00:00:00"/>
        <d v="2024-11-18T00:00:00"/>
        <d v="2024-12-17T00:00:00"/>
      </sharedItems>
      <fieldGroup par="8"/>
    </cacheField>
    <cacheField name="Vendor" numFmtId="0">
      <sharedItems count="26">
        <s v="Russell Crowe"/>
        <s v="Alfred Blue"/>
        <s v="Richard Sherman"/>
        <s v=" Montaric Brown"/>
        <s v="Terry Bradshaw"/>
        <s v="Quintin Dove"/>
        <s v="Johnathan Boring"/>
        <s v="Vance McDonald"/>
        <s v="Jonathan Mingo"/>
        <s v="John Wall"/>
        <s v="Shedeur Sanders"/>
        <s v="Joe Girardi"/>
        <s v="Lebron James"/>
        <s v="Josh Hines-Allen"/>
        <s v="Charles Barkley"/>
        <s v="Michael Jordan"/>
        <s v="Scott Hall"/>
        <s v="Fletcher Cox"/>
        <s v="Tim Duncan"/>
        <s v="Trever Lawrence"/>
        <s v="Nick Mangold"/>
        <s v="Jesse Minter"/>
        <s v="Lesean McCoy"/>
        <s v="Dennis Rodman"/>
        <s v="Wes Welker"/>
        <s v="Oliver Martin"/>
      </sharedItems>
    </cacheField>
    <cacheField name="Qty" numFmtId="0">
      <sharedItems containsSemiMixedTypes="0" containsString="0" containsNumber="1" minValue="0.18699995044501314" maxValue="8940"/>
    </cacheField>
    <cacheField name="U/M" numFmtId="0">
      <sharedItems count="1">
        <s v="lb"/>
      </sharedItems>
    </cacheField>
    <cacheField name="Cost Price" numFmtId="0">
      <sharedItems containsSemiMixedTypes="0" containsString="0" containsNumber="1" minValue="5.1317599999999999" maxValue="10.69519"/>
    </cacheField>
    <cacheField name="Amount" numFmtId="0">
      <sharedItems containsSemiMixedTypes="0" containsString="0" containsNumber="1" minValue="2" maxValue="80460"/>
    </cacheField>
    <cacheField name="Months (Date)" numFmtId="0" databaseField="0">
      <fieldGroup base="0">
        <rangePr groupBy="months" startDate="2020-02-06T00:00:00" endDate="2024-12-18T00:00:00"/>
        <groupItems count="14">
          <s v="&lt;06/02/2020"/>
          <s v="Jan"/>
          <s v="Feb"/>
          <s v="Mar"/>
          <s v="Apr"/>
          <s v="May"/>
          <s v="Jun"/>
          <s v="Jul"/>
          <s v="Aug"/>
          <s v="Sept"/>
          <s v="Oct"/>
          <s v="Nov"/>
          <s v="Dec"/>
          <s v="&gt;18/12/2024"/>
        </groupItems>
      </fieldGroup>
    </cacheField>
    <cacheField name="Quarters (Date)" numFmtId="0" databaseField="0">
      <fieldGroup base="0">
        <rangePr groupBy="quarters" startDate="2020-02-06T00:00:00" endDate="2024-12-18T00:00:00"/>
        <groupItems count="6">
          <s v="&lt;06/02/2020"/>
          <s v="Qtr1"/>
          <s v="Qtr2"/>
          <s v="Qtr3"/>
          <s v="Qtr4"/>
          <s v="&gt;18/12/2024"/>
        </groupItems>
      </fieldGroup>
    </cacheField>
    <cacheField name="Years (Date)" numFmtId="0" databaseField="0">
      <fieldGroup base="0">
        <rangePr groupBy="years" startDate="2020-02-06T00:00:00" endDate="2024-12-18T00:00:00"/>
        <groupItems count="7">
          <s v="&lt;06/02/2020"/>
          <s v="2020"/>
          <s v="2021"/>
          <s v="2022"/>
          <s v="2023"/>
          <s v="2024"/>
          <s v="&gt;18/12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x v="0"/>
    <x v="0"/>
    <n v="39"/>
    <x v="0"/>
    <n v="5.25"/>
    <n v="204.75"/>
  </r>
  <r>
    <x v="1"/>
    <x v="1"/>
    <n v="939"/>
    <x v="0"/>
    <n v="5.5"/>
    <n v="5164.5"/>
  </r>
  <r>
    <x v="2"/>
    <x v="2"/>
    <n v="6861.9983165870717"/>
    <x v="0"/>
    <n v="5.5007299999999999"/>
    <n v="37746"/>
  </r>
  <r>
    <x v="3"/>
    <x v="3"/>
    <n v="1411"/>
    <x v="0"/>
    <n v="5.5"/>
    <n v="7760.5"/>
  </r>
  <r>
    <x v="4"/>
    <x v="1"/>
    <n v="599"/>
    <x v="0"/>
    <n v="5.5"/>
    <n v="3294.5"/>
  </r>
  <r>
    <x v="5"/>
    <x v="1"/>
    <n v="547"/>
    <x v="0"/>
    <n v="5.6"/>
    <n v="3063.2"/>
  </r>
  <r>
    <x v="6"/>
    <x v="1"/>
    <n v="1256.0000000000002"/>
    <x v="0"/>
    <n v="5.6"/>
    <n v="7033.6"/>
  </r>
  <r>
    <x v="7"/>
    <x v="1"/>
    <n v="171"/>
    <x v="0"/>
    <n v="5.75"/>
    <n v="983.25"/>
  </r>
  <r>
    <x v="8"/>
    <x v="2"/>
    <n v="1679.999724024686"/>
    <x v="0"/>
    <n v="5.7976200000000002"/>
    <n v="9740"/>
  </r>
  <r>
    <x v="9"/>
    <x v="1"/>
    <n v="771"/>
    <x v="0"/>
    <n v="5.5"/>
    <n v="4240.5"/>
  </r>
  <r>
    <x v="10"/>
    <x v="1"/>
    <n v="10.999999999999998"/>
    <x v="0"/>
    <n v="5.65"/>
    <n v="62.15"/>
  </r>
  <r>
    <x v="10"/>
    <x v="1"/>
    <n v="2127"/>
    <x v="0"/>
    <n v="5.75"/>
    <n v="12230.25"/>
  </r>
  <r>
    <x v="11"/>
    <x v="4"/>
    <n v="47"/>
    <x v="0"/>
    <n v="5.5"/>
    <n v="258.5"/>
  </r>
  <r>
    <x v="12"/>
    <x v="5"/>
    <n v="898"/>
    <x v="0"/>
    <n v="5.5"/>
    <n v="4939"/>
  </r>
  <r>
    <x v="13"/>
    <x v="1"/>
    <n v="975"/>
    <x v="0"/>
    <n v="5.75"/>
    <n v="5606.25"/>
  </r>
  <r>
    <x v="14"/>
    <x v="6"/>
    <n v="3776"/>
    <x v="0"/>
    <n v="5.75"/>
    <n v="21712"/>
  </r>
  <r>
    <x v="15"/>
    <x v="1"/>
    <n v="943"/>
    <x v="0"/>
    <n v="5.75"/>
    <n v="5422.25"/>
  </r>
  <r>
    <x v="16"/>
    <x v="7"/>
    <n v="815"/>
    <x v="0"/>
    <n v="5.5"/>
    <n v="4482.5"/>
  </r>
  <r>
    <x v="16"/>
    <x v="8"/>
    <n v="1047"/>
    <x v="0"/>
    <n v="5.75"/>
    <n v="6020.25"/>
  </r>
  <r>
    <x v="17"/>
    <x v="9"/>
    <n v="221.99985969725788"/>
    <x v="0"/>
    <n v="5.1317599999999999"/>
    <n v="1139.25"/>
  </r>
  <r>
    <x v="18"/>
    <x v="4"/>
    <n v="131"/>
    <x v="0"/>
    <n v="5.5"/>
    <n v="720.5"/>
  </r>
  <r>
    <x v="19"/>
    <x v="1"/>
    <n v="1040"/>
    <x v="0"/>
    <n v="5.75"/>
    <n v="5980"/>
  </r>
  <r>
    <x v="20"/>
    <x v="1"/>
    <n v="1083"/>
    <x v="0"/>
    <n v="5.75"/>
    <n v="6227.25"/>
  </r>
  <r>
    <x v="20"/>
    <x v="6"/>
    <n v="1618"/>
    <x v="0"/>
    <n v="6"/>
    <n v="9708"/>
  </r>
  <r>
    <x v="21"/>
    <x v="1"/>
    <n v="4171"/>
    <x v="0"/>
    <n v="5.75"/>
    <n v="23983.25"/>
  </r>
  <r>
    <x v="22"/>
    <x v="9"/>
    <n v="122"/>
    <x v="0"/>
    <n v="5.75"/>
    <n v="701.5"/>
  </r>
  <r>
    <x v="23"/>
    <x v="8"/>
    <n v="860"/>
    <x v="0"/>
    <n v="5.75"/>
    <n v="4945"/>
  </r>
  <r>
    <x v="23"/>
    <x v="2"/>
    <n v="1134"/>
    <x v="0"/>
    <n v="5.75"/>
    <n v="6520.5"/>
  </r>
  <r>
    <x v="23"/>
    <x v="7"/>
    <n v="1885"/>
    <x v="0"/>
    <n v="6"/>
    <n v="11310"/>
  </r>
  <r>
    <x v="24"/>
    <x v="1"/>
    <n v="3419"/>
    <x v="0"/>
    <n v="5.75"/>
    <n v="19659.25"/>
  </r>
  <r>
    <x v="25"/>
    <x v="10"/>
    <n v="165"/>
    <x v="0"/>
    <n v="5.5"/>
    <n v="907.5"/>
  </r>
  <r>
    <x v="26"/>
    <x v="1"/>
    <n v="3674"/>
    <x v="0"/>
    <n v="6"/>
    <n v="22044"/>
  </r>
  <r>
    <x v="27"/>
    <x v="9"/>
    <n v="31"/>
    <x v="0"/>
    <n v="5.75"/>
    <n v="178.25"/>
  </r>
  <r>
    <x v="27"/>
    <x v="9"/>
    <n v="632"/>
    <x v="0"/>
    <n v="5.75"/>
    <n v="3634"/>
  </r>
  <r>
    <x v="28"/>
    <x v="1"/>
    <n v="201"/>
    <x v="0"/>
    <n v="6.25"/>
    <n v="1256.25"/>
  </r>
  <r>
    <x v="28"/>
    <x v="1"/>
    <n v="5485"/>
    <x v="0"/>
    <n v="6.25"/>
    <n v="34281.25"/>
  </r>
  <r>
    <x v="29"/>
    <x v="5"/>
    <n v="3985"/>
    <x v="0"/>
    <n v="6.25"/>
    <n v="24906.25"/>
  </r>
  <r>
    <x v="30"/>
    <x v="11"/>
    <n v="100"/>
    <x v="0"/>
    <n v="6"/>
    <n v="600"/>
  </r>
  <r>
    <x v="31"/>
    <x v="2"/>
    <n v="2742.0018147280189"/>
    <x v="0"/>
    <n v="6.1276400000000004"/>
    <n v="16802"/>
  </r>
  <r>
    <x v="31"/>
    <x v="8"/>
    <n v="2973"/>
    <x v="0"/>
    <n v="5.75"/>
    <n v="17094.75"/>
  </r>
  <r>
    <x v="32"/>
    <x v="1"/>
    <n v="4429"/>
    <x v="0"/>
    <n v="6.25"/>
    <n v="27681.25"/>
  </r>
  <r>
    <x v="33"/>
    <x v="1"/>
    <n v="340"/>
    <x v="0"/>
    <n v="6.25"/>
    <n v="2125"/>
  </r>
  <r>
    <x v="34"/>
    <x v="12"/>
    <n v="58"/>
    <x v="0"/>
    <n v="5.5"/>
    <n v="319"/>
  </r>
  <r>
    <x v="34"/>
    <x v="8"/>
    <n v="2528"/>
    <x v="0"/>
    <n v="6.25"/>
    <n v="15800"/>
  </r>
  <r>
    <x v="34"/>
    <x v="1"/>
    <n v="3213.9999999999995"/>
    <x v="0"/>
    <n v="6.65"/>
    <n v="21373.1"/>
  </r>
  <r>
    <x v="35"/>
    <x v="7"/>
    <n v="607"/>
    <x v="0"/>
    <n v="7"/>
    <n v="4249"/>
  </r>
  <r>
    <x v="35"/>
    <x v="8"/>
    <n v="801"/>
    <x v="0"/>
    <n v="6.5"/>
    <n v="5206.5"/>
  </r>
  <r>
    <x v="35"/>
    <x v="2"/>
    <n v="1474.0002144312211"/>
    <x v="0"/>
    <n v="6.9952500000000004"/>
    <n v="10311"/>
  </r>
  <r>
    <x v="36"/>
    <x v="5"/>
    <n v="277"/>
    <x v="0"/>
    <n v="7"/>
    <n v="1939"/>
  </r>
  <r>
    <x v="36"/>
    <x v="13"/>
    <n v="388.00007092156665"/>
    <x v="0"/>
    <n v="6.7680400000000001"/>
    <n v="2626"/>
  </r>
  <r>
    <x v="36"/>
    <x v="2"/>
    <n v="1247"/>
    <x v="0"/>
    <n v="7.25"/>
    <n v="9040.75"/>
  </r>
  <r>
    <x v="36"/>
    <x v="8"/>
    <n v="1832"/>
    <x v="0"/>
    <n v="7"/>
    <n v="12824"/>
  </r>
  <r>
    <x v="36"/>
    <x v="1"/>
    <n v="3531"/>
    <x v="0"/>
    <n v="7.5"/>
    <n v="26482.5"/>
  </r>
  <r>
    <x v="37"/>
    <x v="7"/>
    <n v="600"/>
    <x v="0"/>
    <n v="7"/>
    <n v="4200"/>
  </r>
  <r>
    <x v="37"/>
    <x v="8"/>
    <n v="1066"/>
    <x v="0"/>
    <n v="7.25"/>
    <n v="7728.5"/>
  </r>
  <r>
    <x v="37"/>
    <x v="1"/>
    <n v="1133"/>
    <x v="0"/>
    <n v="7.5"/>
    <n v="8497.5"/>
  </r>
  <r>
    <x v="38"/>
    <x v="1"/>
    <n v="3295"/>
    <x v="0"/>
    <n v="7.5"/>
    <n v="24712.5"/>
  </r>
  <r>
    <x v="39"/>
    <x v="9"/>
    <n v="480"/>
    <x v="0"/>
    <n v="6.5"/>
    <n v="3120"/>
  </r>
  <r>
    <x v="40"/>
    <x v="8"/>
    <n v="302"/>
    <x v="0"/>
    <n v="7.25"/>
    <n v="2189.5"/>
  </r>
  <r>
    <x v="40"/>
    <x v="1"/>
    <n v="699"/>
    <x v="0"/>
    <n v="7.5"/>
    <n v="5242.5"/>
  </r>
  <r>
    <x v="41"/>
    <x v="1"/>
    <n v="127"/>
    <x v="0"/>
    <n v="7.5"/>
    <n v="952.5"/>
  </r>
  <r>
    <x v="41"/>
    <x v="8"/>
    <n v="153"/>
    <x v="0"/>
    <n v="7.25"/>
    <n v="1109.25"/>
  </r>
  <r>
    <x v="42"/>
    <x v="1"/>
    <n v="456"/>
    <x v="0"/>
    <n v="7.5"/>
    <n v="3420"/>
  </r>
  <r>
    <x v="43"/>
    <x v="8"/>
    <n v="202"/>
    <x v="0"/>
    <n v="7.25"/>
    <n v="1464.5"/>
  </r>
  <r>
    <x v="44"/>
    <x v="9"/>
    <n v="171"/>
    <x v="0"/>
    <n v="6.75"/>
    <n v="1154.25"/>
  </r>
  <r>
    <x v="45"/>
    <x v="8"/>
    <n v="204"/>
    <x v="0"/>
    <n v="7.25"/>
    <n v="1479"/>
  </r>
  <r>
    <x v="46"/>
    <x v="2"/>
    <n v="1048.0003440387654"/>
    <x v="0"/>
    <n v="7.2084900000000003"/>
    <n v="7554.5"/>
  </r>
  <r>
    <x v="47"/>
    <x v="8"/>
    <n v="152"/>
    <x v="0"/>
    <n v="7.25"/>
    <n v="1102"/>
  </r>
  <r>
    <x v="48"/>
    <x v="1"/>
    <n v="725"/>
    <x v="0"/>
    <n v="7.5"/>
    <n v="5437.5"/>
  </r>
  <r>
    <x v="49"/>
    <x v="9"/>
    <n v="176"/>
    <x v="0"/>
    <n v="6.75"/>
    <n v="1188"/>
  </r>
  <r>
    <x v="50"/>
    <x v="8"/>
    <n v="204"/>
    <x v="0"/>
    <n v="7.25"/>
    <n v="1479"/>
  </r>
  <r>
    <x v="51"/>
    <x v="6"/>
    <n v="1856.0005057049843"/>
    <x v="0"/>
    <n v="7.9097499999999998"/>
    <n v="14680.5"/>
  </r>
  <r>
    <x v="52"/>
    <x v="8"/>
    <n v="208"/>
    <x v="0"/>
    <n v="7.25"/>
    <n v="1508"/>
  </r>
  <r>
    <x v="53"/>
    <x v="9"/>
    <n v="145"/>
    <x v="0"/>
    <n v="6.75"/>
    <n v="978.75"/>
  </r>
  <r>
    <x v="54"/>
    <x v="2"/>
    <n v="147"/>
    <x v="0"/>
    <n v="7.25"/>
    <n v="1065.75"/>
  </r>
  <r>
    <x v="54"/>
    <x v="1"/>
    <n v="1122"/>
    <x v="0"/>
    <n v="7.5"/>
    <n v="8415"/>
  </r>
  <r>
    <x v="55"/>
    <x v="8"/>
    <n v="454"/>
    <x v="0"/>
    <n v="7.25"/>
    <n v="3291.5"/>
  </r>
  <r>
    <x v="56"/>
    <x v="1"/>
    <n v="1125"/>
    <x v="0"/>
    <n v="7.5"/>
    <n v="8437.5"/>
  </r>
  <r>
    <x v="57"/>
    <x v="7"/>
    <n v="205"/>
    <x v="0"/>
    <n v="7.25"/>
    <n v="1486.25"/>
  </r>
  <r>
    <x v="58"/>
    <x v="1"/>
    <n v="1998.1999999999998"/>
    <x v="0"/>
    <n v="7.75"/>
    <n v="15486.05"/>
  </r>
  <r>
    <x v="59"/>
    <x v="8"/>
    <n v="921"/>
    <x v="0"/>
    <n v="7.75"/>
    <n v="7137.75"/>
  </r>
  <r>
    <x v="60"/>
    <x v="9"/>
    <n v="289"/>
    <x v="0"/>
    <n v="6.75"/>
    <n v="1950.75"/>
  </r>
  <r>
    <x v="61"/>
    <x v="1"/>
    <n v="680"/>
    <x v="0"/>
    <n v="7.75"/>
    <n v="5270"/>
  </r>
  <r>
    <x v="62"/>
    <x v="8"/>
    <n v="415"/>
    <x v="0"/>
    <n v="7.75"/>
    <n v="3216.25"/>
  </r>
  <r>
    <x v="62"/>
    <x v="1"/>
    <n v="894"/>
    <x v="0"/>
    <n v="7.75"/>
    <n v="6928.5"/>
  </r>
  <r>
    <x v="63"/>
    <x v="2"/>
    <n v="272.79999896273767"/>
    <x v="0"/>
    <n v="7.7126099999999997"/>
    <n v="2104"/>
  </r>
  <r>
    <x v="64"/>
    <x v="10"/>
    <n v="851"/>
    <x v="0"/>
    <n v="6.25"/>
    <n v="5318.75"/>
  </r>
  <r>
    <x v="65"/>
    <x v="14"/>
    <n v="1560.0001038917865"/>
    <x v="0"/>
    <n v="7.7003199999999996"/>
    <n v="12012.5"/>
  </r>
  <r>
    <x v="65"/>
    <x v="5"/>
    <n v="3819"/>
    <x v="0"/>
    <n v="7.8"/>
    <n v="29788.2"/>
  </r>
  <r>
    <x v="66"/>
    <x v="8"/>
    <n v="453"/>
    <x v="0"/>
    <n v="8"/>
    <n v="3624"/>
  </r>
  <r>
    <x v="67"/>
    <x v="15"/>
    <n v="5.4000036802122064"/>
    <x v="0"/>
    <n v="7.0648099999999996"/>
    <n v="38.15"/>
  </r>
  <r>
    <x v="67"/>
    <x v="16"/>
    <n v="89"/>
    <x v="0"/>
    <n v="7.75"/>
    <n v="689.75"/>
  </r>
  <r>
    <x v="68"/>
    <x v="9"/>
    <n v="237"/>
    <x v="0"/>
    <n v="8"/>
    <n v="1896"/>
  </r>
  <r>
    <x v="69"/>
    <x v="0"/>
    <n v="5"/>
    <x v="0"/>
    <n v="7.75"/>
    <n v="38.75"/>
  </r>
  <r>
    <x v="70"/>
    <x v="17"/>
    <n v="3"/>
    <x v="0"/>
    <n v="7"/>
    <n v="21"/>
  </r>
  <r>
    <x v="70"/>
    <x v="1"/>
    <n v="2500"/>
    <x v="0"/>
    <n v="8.25"/>
    <n v="20625"/>
  </r>
  <r>
    <x v="70"/>
    <x v="1"/>
    <n v="3334"/>
    <x v="0"/>
    <n v="8.5"/>
    <n v="28339"/>
  </r>
  <r>
    <x v="71"/>
    <x v="7"/>
    <n v="605"/>
    <x v="0"/>
    <n v="8"/>
    <n v="4840"/>
  </r>
  <r>
    <x v="71"/>
    <x v="8"/>
    <n v="3921"/>
    <x v="0"/>
    <n v="8.25"/>
    <n v="32348.25"/>
  </r>
  <r>
    <x v="72"/>
    <x v="2"/>
    <n v="850"/>
    <x v="0"/>
    <n v="8"/>
    <n v="6800"/>
  </r>
  <r>
    <x v="72"/>
    <x v="2"/>
    <n v="1126.9995152690258"/>
    <x v="0"/>
    <n v="8.1694800000000001"/>
    <n v="9207"/>
  </r>
  <r>
    <x v="73"/>
    <x v="8"/>
    <n v="2081"/>
    <x v="0"/>
    <n v="8.5"/>
    <n v="17688.5"/>
  </r>
  <r>
    <x v="74"/>
    <x v="7"/>
    <n v="662.6"/>
    <x v="0"/>
    <n v="8.5"/>
    <n v="5632.1"/>
  </r>
  <r>
    <x v="74"/>
    <x v="1"/>
    <n v="3812.2000000000003"/>
    <x v="0"/>
    <n v="9"/>
    <n v="34309.800000000003"/>
  </r>
  <r>
    <x v="75"/>
    <x v="8"/>
    <n v="1525.6000000000001"/>
    <x v="0"/>
    <n v="8.5"/>
    <n v="12967.6"/>
  </r>
  <r>
    <x v="76"/>
    <x v="9"/>
    <n v="288"/>
    <x v="0"/>
    <n v="9"/>
    <n v="2592"/>
  </r>
  <r>
    <x v="77"/>
    <x v="7"/>
    <n v="606"/>
    <x v="0"/>
    <n v="8.5"/>
    <n v="5151"/>
  </r>
  <r>
    <x v="77"/>
    <x v="8"/>
    <n v="1411"/>
    <x v="0"/>
    <n v="8.75"/>
    <n v="12346.25"/>
  </r>
  <r>
    <x v="78"/>
    <x v="2"/>
    <n v="1184.0000659101904"/>
    <x v="0"/>
    <n v="8.4964099999999991"/>
    <n v="10059.75"/>
  </r>
  <r>
    <x v="79"/>
    <x v="8"/>
    <n v="253"/>
    <x v="0"/>
    <n v="8.75"/>
    <n v="2213.75"/>
  </r>
  <r>
    <x v="80"/>
    <x v="18"/>
    <n v="4"/>
    <x v="0"/>
    <n v="7"/>
    <n v="28"/>
  </r>
  <r>
    <x v="81"/>
    <x v="1"/>
    <n v="792"/>
    <x v="0"/>
    <n v="9"/>
    <n v="7128"/>
  </r>
  <r>
    <x v="82"/>
    <x v="8"/>
    <n v="503"/>
    <x v="0"/>
    <n v="8.75"/>
    <n v="4401.25"/>
  </r>
  <r>
    <x v="83"/>
    <x v="18"/>
    <n v="4"/>
    <x v="0"/>
    <n v="7"/>
    <n v="28"/>
  </r>
  <r>
    <x v="84"/>
    <x v="19"/>
    <n v="44"/>
    <x v="0"/>
    <n v="8"/>
    <n v="352"/>
  </r>
  <r>
    <x v="85"/>
    <x v="7"/>
    <n v="504"/>
    <x v="0"/>
    <n v="8.5"/>
    <n v="4284"/>
  </r>
  <r>
    <x v="86"/>
    <x v="8"/>
    <n v="382"/>
    <x v="0"/>
    <n v="9"/>
    <n v="3438"/>
  </r>
  <r>
    <x v="87"/>
    <x v="9"/>
    <n v="237.00006644861674"/>
    <x v="0"/>
    <n v="8.1265800000000006"/>
    <n v="1926"/>
  </r>
  <r>
    <x v="88"/>
    <x v="8"/>
    <n v="250"/>
    <x v="0"/>
    <n v="9"/>
    <n v="2250"/>
  </r>
  <r>
    <x v="89"/>
    <x v="8"/>
    <n v="208"/>
    <x v="0"/>
    <n v="9"/>
    <n v="1872"/>
  </r>
  <r>
    <x v="90"/>
    <x v="8"/>
    <n v="223"/>
    <x v="0"/>
    <n v="9"/>
    <n v="2007"/>
  </r>
  <r>
    <x v="91"/>
    <x v="19"/>
    <n v="31.799996337173198"/>
    <x v="0"/>
    <n v="6.0062899999999999"/>
    <n v="191"/>
  </r>
  <r>
    <x v="92"/>
    <x v="1"/>
    <n v="8940"/>
    <x v="0"/>
    <n v="9"/>
    <n v="80460"/>
  </r>
  <r>
    <x v="93"/>
    <x v="8"/>
    <n v="1476"/>
    <x v="0"/>
    <n v="9"/>
    <n v="13284"/>
  </r>
  <r>
    <x v="93"/>
    <x v="1"/>
    <n v="2574"/>
    <x v="0"/>
    <n v="9"/>
    <n v="23166"/>
  </r>
  <r>
    <x v="94"/>
    <x v="4"/>
    <n v="218"/>
    <x v="0"/>
    <n v="8.5"/>
    <n v="1853"/>
  </r>
  <r>
    <x v="95"/>
    <x v="8"/>
    <n v="4009"/>
    <x v="0"/>
    <n v="9.25"/>
    <n v="37083.25"/>
  </r>
  <r>
    <x v="96"/>
    <x v="20"/>
    <n v="185.70000000000002"/>
    <x v="0"/>
    <n v="8.5"/>
    <n v="1578.45"/>
  </r>
  <r>
    <x v="97"/>
    <x v="5"/>
    <n v="349"/>
    <x v="0"/>
    <n v="8.5"/>
    <n v="2966.5"/>
  </r>
  <r>
    <x v="97"/>
    <x v="10"/>
    <n v="819"/>
    <x v="0"/>
    <n v="7.5"/>
    <n v="6142.5"/>
  </r>
  <r>
    <x v="98"/>
    <x v="2"/>
    <n v="3147.9995218660883"/>
    <x v="0"/>
    <n v="8.7841500000000003"/>
    <n v="27652.5"/>
  </r>
  <r>
    <x v="99"/>
    <x v="21"/>
    <n v="1257.0003831070851"/>
    <x v="0"/>
    <n v="8.0656300000000005"/>
    <n v="10138.5"/>
  </r>
  <r>
    <x v="100"/>
    <x v="4"/>
    <n v="86"/>
    <x v="0"/>
    <n v="9"/>
    <n v="774"/>
  </r>
  <r>
    <x v="101"/>
    <x v="22"/>
    <n v="1897.9998177191051"/>
    <x v="0"/>
    <n v="8.5582200000000004"/>
    <n v="16243.5"/>
  </r>
  <r>
    <x v="102"/>
    <x v="1"/>
    <n v="4596"/>
    <x v="0"/>
    <n v="9.35"/>
    <n v="42972.6"/>
  </r>
  <r>
    <x v="103"/>
    <x v="1"/>
    <n v="2951"/>
    <x v="0"/>
    <n v="9.35"/>
    <n v="27591.85"/>
  </r>
  <r>
    <x v="104"/>
    <x v="4"/>
    <n v="57"/>
    <x v="0"/>
    <n v="9"/>
    <n v="513"/>
  </r>
  <r>
    <x v="105"/>
    <x v="23"/>
    <n v="569.00030845229935"/>
    <x v="0"/>
    <n v="8.4940200000000008"/>
    <n v="4833.1000000000004"/>
  </r>
  <r>
    <x v="106"/>
    <x v="8"/>
    <n v="1000"/>
    <x v="0"/>
    <n v="9"/>
    <n v="9000"/>
  </r>
  <r>
    <x v="106"/>
    <x v="8"/>
    <n v="1574"/>
    <x v="0"/>
    <n v="8.5"/>
    <n v="13379"/>
  </r>
  <r>
    <x v="107"/>
    <x v="1"/>
    <n v="1900"/>
    <x v="0"/>
    <n v="9.35"/>
    <n v="17765"/>
  </r>
  <r>
    <x v="107"/>
    <x v="1"/>
    <n v="3049"/>
    <x v="0"/>
    <n v="8.5"/>
    <n v="25916.5"/>
  </r>
  <r>
    <x v="108"/>
    <x v="2"/>
    <n v="3709.0015168774758"/>
    <x v="0"/>
    <n v="8.4713499999999993"/>
    <n v="31420.25"/>
  </r>
  <r>
    <x v="109"/>
    <x v="7"/>
    <n v="2881"/>
    <x v="0"/>
    <n v="8.5"/>
    <n v="24488.5"/>
  </r>
  <r>
    <x v="110"/>
    <x v="8"/>
    <n v="2593"/>
    <x v="0"/>
    <n v="8.5"/>
    <n v="22040.5"/>
  </r>
  <r>
    <x v="111"/>
    <x v="1"/>
    <n v="1830"/>
    <x v="0"/>
    <n v="8"/>
    <n v="14640"/>
  </r>
  <r>
    <x v="111"/>
    <x v="1"/>
    <n v="5400"/>
    <x v="0"/>
    <n v="8.2729499999999998"/>
    <n v="44673.93"/>
  </r>
  <r>
    <x v="112"/>
    <x v="1"/>
    <n v="614"/>
    <x v="0"/>
    <n v="8.25"/>
    <n v="5065.5"/>
  </r>
  <r>
    <x v="113"/>
    <x v="8"/>
    <n v="3040"/>
    <x v="0"/>
    <n v="8.25"/>
    <n v="25080"/>
  </r>
  <r>
    <x v="114"/>
    <x v="9"/>
    <n v="431.99985836070221"/>
    <x v="0"/>
    <n v="7.9074099999999996"/>
    <n v="3416"/>
  </r>
  <r>
    <x v="115"/>
    <x v="8"/>
    <n v="1998"/>
    <x v="0"/>
    <n v="8.25"/>
    <n v="16483.5"/>
  </r>
  <r>
    <x v="116"/>
    <x v="6"/>
    <n v="4517"/>
    <x v="0"/>
    <n v="8"/>
    <n v="36136"/>
  </r>
  <r>
    <x v="117"/>
    <x v="1"/>
    <n v="2232"/>
    <x v="0"/>
    <n v="8.25"/>
    <n v="18414"/>
  </r>
  <r>
    <x v="118"/>
    <x v="8"/>
    <n v="3558"/>
    <x v="0"/>
    <n v="8"/>
    <n v="28464"/>
  </r>
  <r>
    <x v="119"/>
    <x v="19"/>
    <n v="15"/>
    <x v="0"/>
    <n v="8"/>
    <n v="120"/>
  </r>
  <r>
    <x v="120"/>
    <x v="9"/>
    <n v="315.99986306672599"/>
    <x v="0"/>
    <n v="7.5949400000000002"/>
    <n v="2400"/>
  </r>
  <r>
    <x v="121"/>
    <x v="1"/>
    <n v="996"/>
    <x v="0"/>
    <n v="8.25"/>
    <n v="8217"/>
  </r>
  <r>
    <x v="122"/>
    <x v="8"/>
    <n v="897"/>
    <x v="0"/>
    <n v="7.5"/>
    <n v="6727.5"/>
  </r>
  <r>
    <x v="122"/>
    <x v="1"/>
    <n v="982"/>
    <x v="0"/>
    <n v="7.75"/>
    <n v="7610.5"/>
  </r>
  <r>
    <x v="122"/>
    <x v="1"/>
    <n v="2570"/>
    <x v="0"/>
    <n v="8.25"/>
    <n v="21202.5"/>
  </r>
  <r>
    <x v="123"/>
    <x v="4"/>
    <n v="10"/>
    <x v="0"/>
    <n v="7"/>
    <n v="70"/>
  </r>
  <r>
    <x v="124"/>
    <x v="8"/>
    <n v="1141"/>
    <x v="0"/>
    <n v="7.5"/>
    <n v="8557.5"/>
  </r>
  <r>
    <x v="125"/>
    <x v="1"/>
    <n v="3537"/>
    <x v="0"/>
    <n v="7.75"/>
    <n v="27411.75"/>
  </r>
  <r>
    <x v="126"/>
    <x v="2"/>
    <n v="1812.9995875640748"/>
    <x v="0"/>
    <n v="8.1467200000000002"/>
    <n v="14770"/>
  </r>
  <r>
    <x v="127"/>
    <x v="24"/>
    <n v="101.00000758923038"/>
    <x v="0"/>
    <n v="7.9059400000000002"/>
    <n v="798.5"/>
  </r>
  <r>
    <x v="127"/>
    <x v="1"/>
    <n v="3490"/>
    <x v="0"/>
    <n v="7.75"/>
    <n v="27047.5"/>
  </r>
  <r>
    <x v="128"/>
    <x v="21"/>
    <n v="1319.0007446054487"/>
    <x v="0"/>
    <n v="7.8162200000000004"/>
    <n v="10309.6"/>
  </r>
  <r>
    <x v="129"/>
    <x v="8"/>
    <n v="285"/>
    <x v="0"/>
    <n v="7.5"/>
    <n v="2137.5"/>
  </r>
  <r>
    <x v="130"/>
    <x v="19"/>
    <n v="0.18699995044501314"/>
    <x v="0"/>
    <n v="10.69519"/>
    <n v="2"/>
  </r>
  <r>
    <x v="131"/>
    <x v="22"/>
    <n v="2803.9995228229404"/>
    <x v="0"/>
    <n v="8.2149800000000006"/>
    <n v="23034.799999999999"/>
  </r>
  <r>
    <x v="132"/>
    <x v="8"/>
    <n v="1658"/>
    <x v="0"/>
    <n v="7.5"/>
    <n v="12435"/>
  </r>
  <r>
    <x v="133"/>
    <x v="1"/>
    <n v="6625"/>
    <x v="0"/>
    <n v="7.75"/>
    <n v="51343.75"/>
  </r>
  <r>
    <x v="134"/>
    <x v="20"/>
    <n v="318.00011609233212"/>
    <x v="0"/>
    <n v="7.7524499999999996"/>
    <n v="2465.2800000000002"/>
  </r>
  <r>
    <x v="135"/>
    <x v="19"/>
    <n v="6.0000034285733879"/>
    <x v="0"/>
    <n v="5.8333300000000001"/>
    <n v="35"/>
  </r>
  <r>
    <x v="136"/>
    <x v="9"/>
    <n v="177.99997620718781"/>
    <x v="0"/>
    <n v="6.7247199999999996"/>
    <n v="1197"/>
  </r>
  <r>
    <x v="137"/>
    <x v="19"/>
    <n v="7"/>
    <x v="0"/>
    <n v="6"/>
    <n v="42"/>
  </r>
  <r>
    <x v="138"/>
    <x v="7"/>
    <n v="3807"/>
    <x v="0"/>
    <n v="7.5"/>
    <n v="28552.5"/>
  </r>
  <r>
    <x v="139"/>
    <x v="8"/>
    <n v="1702.9996634318732"/>
    <x v="0"/>
    <n v="7.1307999999999998"/>
    <n v="12143.75"/>
  </r>
  <r>
    <x v="140"/>
    <x v="2"/>
    <n v="6553.0000000000009"/>
    <x v="0"/>
    <n v="7.35"/>
    <n v="48164.55"/>
  </r>
  <r>
    <x v="141"/>
    <x v="8"/>
    <n v="1098"/>
    <x v="0"/>
    <n v="7"/>
    <n v="7686"/>
  </r>
  <r>
    <x v="142"/>
    <x v="21"/>
    <n v="536.99962392534485"/>
    <x v="0"/>
    <n v="6.8603399999999999"/>
    <n v="3684"/>
  </r>
  <r>
    <x v="143"/>
    <x v="23"/>
    <n v="698"/>
    <x v="0"/>
    <n v="7.5"/>
    <n v="5235"/>
  </r>
  <r>
    <x v="144"/>
    <x v="8"/>
    <n v="2029"/>
    <x v="0"/>
    <n v="7.5"/>
    <n v="15217.5"/>
  </r>
  <r>
    <x v="145"/>
    <x v="9"/>
    <n v="561"/>
    <x v="0"/>
    <n v="7.25"/>
    <n v="4067.25"/>
  </r>
  <r>
    <x v="146"/>
    <x v="19"/>
    <n v="24"/>
    <x v="0"/>
    <n v="5.25"/>
    <n v="126"/>
  </r>
  <r>
    <x v="147"/>
    <x v="8"/>
    <n v="2056"/>
    <x v="0"/>
    <n v="7.5"/>
    <n v="15420"/>
  </r>
  <r>
    <x v="148"/>
    <x v="1"/>
    <n v="522"/>
    <x v="0"/>
    <n v="7.5"/>
    <n v="3915"/>
  </r>
  <r>
    <x v="148"/>
    <x v="1"/>
    <n v="1161"/>
    <x v="0"/>
    <n v="7.5"/>
    <n v="8707.5"/>
  </r>
  <r>
    <x v="149"/>
    <x v="8"/>
    <n v="704"/>
    <x v="0"/>
    <n v="7.5"/>
    <n v="5280"/>
  </r>
  <r>
    <x v="150"/>
    <x v="1"/>
    <n v="1093"/>
    <x v="0"/>
    <n v="7.5"/>
    <n v="8197.5"/>
  </r>
  <r>
    <x v="151"/>
    <x v="8"/>
    <n v="828"/>
    <x v="0"/>
    <n v="7.5"/>
    <n v="6210"/>
  </r>
  <r>
    <x v="152"/>
    <x v="2"/>
    <n v="775.99968265128439"/>
    <x v="0"/>
    <n v="7.3105700000000002"/>
    <n v="5673"/>
  </r>
  <r>
    <x v="153"/>
    <x v="8"/>
    <n v="503"/>
    <x v="0"/>
    <n v="7.5"/>
    <n v="3772.5"/>
  </r>
  <r>
    <x v="154"/>
    <x v="25"/>
    <n v="8"/>
    <x v="0"/>
    <n v="6"/>
    <n v="48"/>
  </r>
  <r>
    <x v="155"/>
    <x v="6"/>
    <n v="997"/>
    <x v="0"/>
    <n v="7.5"/>
    <n v="7477.5"/>
  </r>
  <r>
    <x v="156"/>
    <x v="1"/>
    <n v="3019"/>
    <x v="0"/>
    <n v="7.5"/>
    <n v="22642.5"/>
  </r>
  <r>
    <x v="157"/>
    <x v="8"/>
    <n v="2138.5"/>
    <x v="0"/>
    <n v="7.5"/>
    <n v="16038.75"/>
  </r>
  <r>
    <x v="158"/>
    <x v="9"/>
    <n v="730"/>
    <x v="0"/>
    <n v="7.25"/>
    <n v="5292.5"/>
  </r>
  <r>
    <x v="159"/>
    <x v="23"/>
    <n v="741"/>
    <x v="0"/>
    <n v="7.75"/>
    <n v="5742.75"/>
  </r>
  <r>
    <x v="159"/>
    <x v="6"/>
    <n v="927.00035112031412"/>
    <x v="0"/>
    <n v="7.49031"/>
    <n v="6943.52"/>
  </r>
  <r>
    <x v="159"/>
    <x v="21"/>
    <n v="1041"/>
    <x v="0"/>
    <n v="7"/>
    <n v="7287"/>
  </r>
  <r>
    <x v="160"/>
    <x v="22"/>
    <n v="1195"/>
    <x v="0"/>
    <n v="7.5"/>
    <n v="8962.5"/>
  </r>
  <r>
    <x v="161"/>
    <x v="25"/>
    <n v="10.999994908981066"/>
    <x v="0"/>
    <n v="5.8927300000000002"/>
    <n v="64.819999999999993"/>
  </r>
  <r>
    <x v="162"/>
    <x v="19"/>
    <n v="6"/>
    <x v="0"/>
    <n v="5.5"/>
    <n v="33"/>
  </r>
  <r>
    <x v="162"/>
    <x v="24"/>
    <n v="203"/>
    <x v="0"/>
    <n v="7.5"/>
    <n v="1522.5"/>
  </r>
  <r>
    <x v="162"/>
    <x v="1"/>
    <n v="272"/>
    <x v="0"/>
    <n v="7.5"/>
    <n v="2040"/>
  </r>
  <r>
    <x v="162"/>
    <x v="1"/>
    <n v="3355"/>
    <x v="0"/>
    <n v="7.5"/>
    <n v="25162.5"/>
  </r>
  <r>
    <x v="163"/>
    <x v="19"/>
    <n v="20"/>
    <x v="0"/>
    <n v="5.4565000000000001"/>
    <n v="109.13"/>
  </r>
  <r>
    <x v="164"/>
    <x v="8"/>
    <n v="5438"/>
    <x v="0"/>
    <n v="7.75"/>
    <n v="42144.5"/>
  </r>
  <r>
    <x v="165"/>
    <x v="6"/>
    <n v="3049"/>
    <x v="0"/>
    <n v="7.75"/>
    <n v="23629.75"/>
  </r>
  <r>
    <x v="166"/>
    <x v="19"/>
    <n v="4"/>
    <x v="0"/>
    <n v="6.45"/>
    <n v="25.8"/>
  </r>
  <r>
    <x v="167"/>
    <x v="1"/>
    <n v="1976"/>
    <x v="0"/>
    <n v="7.25"/>
    <n v="14326"/>
  </r>
  <r>
    <x v="167"/>
    <x v="1"/>
    <n v="2076"/>
    <x v="0"/>
    <n v="7.5"/>
    <n v="15570"/>
  </r>
  <r>
    <x v="168"/>
    <x v="9"/>
    <n v="177"/>
    <x v="0"/>
    <n v="7.25"/>
    <n v="1283.25"/>
  </r>
  <r>
    <x v="169"/>
    <x v="8"/>
    <n v="5757"/>
    <x v="0"/>
    <n v="7.75"/>
    <n v="44616.75"/>
  </r>
  <r>
    <x v="170"/>
    <x v="20"/>
    <n v="105"/>
    <x v="0"/>
    <n v="7"/>
    <n v="735"/>
  </r>
  <r>
    <x v="170"/>
    <x v="21"/>
    <n v="1209"/>
    <x v="0"/>
    <n v="7"/>
    <n v="8463"/>
  </r>
  <r>
    <x v="170"/>
    <x v="6"/>
    <n v="1551"/>
    <x v="0"/>
    <n v="7.5"/>
    <n v="11632.5"/>
  </r>
  <r>
    <x v="170"/>
    <x v="1"/>
    <n v="2200"/>
    <x v="0"/>
    <n v="7.5"/>
    <n v="16500"/>
  </r>
  <r>
    <x v="171"/>
    <x v="8"/>
    <n v="2804"/>
    <x v="0"/>
    <n v="7.25"/>
    <n v="203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D108A5-7766-418B-90AE-857B19C6E56D}" name="PivotTable8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Year" colHeaderCaption="Month">
  <location ref="Q56:R69" firstHeaderRow="1" firstDataRow="1" firstDataCol="1" rowPageCount="2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showAll="0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</pivotField>
    <pivotField showAll="0"/>
    <pivotField axis="axisPage" showAll="0">
      <items count="2">
        <item x="0"/>
        <item t="default"/>
      </items>
    </pivotField>
    <pivotField showAll="0"/>
    <pivotField dataField="1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6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pageFields count="2">
    <pageField fld="8" hier="-1"/>
    <pageField fld="3" item="0" hier="-1"/>
  </pageFields>
  <dataFields count="1">
    <dataField name="% of Total" fld="5" showDataAs="percentOfCol" baseField="6" baseItem="2" numFmtId="9"/>
  </dataFields>
  <formats count="3">
    <format dxfId="22">
      <pivotArea dataOnly="0" labelOnly="1" fieldPosition="0">
        <references count="1">
          <reference field="6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5">
      <pivotArea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DA67B1-39FA-4A8B-9071-52300BACF743}" name="PivotTable1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Year" colHeaderCaption="Month">
  <location ref="A5:N12" firstHeaderRow="1" firstDataRow="2" firstDataCol="1" rowPageCount="1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showAll="0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</pivotField>
    <pivotField dataField="1" showAll="0"/>
    <pivotField axis="axisPage" showAll="0">
      <items count="2">
        <item x="0"/>
        <item t="default"/>
      </items>
    </pivotField>
    <pivotField showAll="0"/>
    <pivotField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8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6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3" item="0" hier="-1"/>
  </pageFields>
  <dataFields count="1">
    <dataField name="Sum of Qty" fld="2" baseField="8" baseItem="2" numFmtId="3"/>
  </dataFields>
  <formats count="2">
    <format dxfId="89">
      <pivotArea dataOnly="0" labelOnly="1" fieldPosition="0">
        <references count="1">
          <reference field="8" count="5">
            <x v="1"/>
            <x v="2"/>
            <x v="3"/>
            <x v="4"/>
            <x v="5"/>
          </reference>
        </references>
      </pivotArea>
    </format>
    <format dxfId="88">
      <pivotArea dataOnly="0" labelOnly="1" fieldPosition="0">
        <references count="1">
          <reference field="6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2CBA75-E2A0-4A39-93D2-094EACDE5722}" name="PivotTable6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Year" colHeaderCaption="Month">
  <location ref="A56:B69" firstHeaderRow="1" firstDataRow="1" firstDataCol="1" rowPageCount="2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showAll="0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</pivotField>
    <pivotField dataField="1" showAll="0"/>
    <pivotField axis="axisPage" showAll="0">
      <items count="2">
        <item x="0"/>
        <item t="default"/>
      </items>
    </pivotField>
    <pivotField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6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pageFields count="2">
    <pageField fld="8" hier="-1"/>
    <pageField fld="3" item="0" hier="-1"/>
  </pageFields>
  <dataFields count="1">
    <dataField name=" % of Total" fld="2" showDataAs="percentOfCol" baseField="8" baseItem="2" numFmtId="10"/>
  </dataFields>
  <formats count="3">
    <format dxfId="24">
      <pivotArea dataOnly="0" labelOnly="1" fieldPosition="0">
        <references count="1">
          <reference field="6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3">
      <pivotArea outline="0" fieldPosition="0">
        <references count="1">
          <reference field="4294967294" count="1">
            <x v="0"/>
          </reference>
        </references>
      </pivotArea>
    </format>
    <format dxfId="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A3A231-A7D8-4F01-9DC8-0703D4416EFC}" name="PivotTable5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Vendor" colHeaderCaption="Month">
  <location ref="Q18:W46" firstHeaderRow="1" firstDataRow="2" firstDataCol="1" rowPageCount="1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axis="axisRow" showAll="0" sortType="descending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>
      <items count="2">
        <item x="0"/>
        <item t="default"/>
      </items>
    </pivotField>
    <pivotField showAll="0"/>
    <pivotField dataField="1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Col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1"/>
  </rowFields>
  <rowItems count="27">
    <i>
      <x v="1"/>
    </i>
    <i>
      <x v="9"/>
    </i>
    <i>
      <x v="17"/>
    </i>
    <i>
      <x v="8"/>
    </i>
    <i>
      <x v="24"/>
    </i>
    <i>
      <x v="16"/>
    </i>
    <i>
      <x v="12"/>
    </i>
    <i>
      <x v="5"/>
    </i>
    <i>
      <x v="7"/>
    </i>
    <i>
      <x v="3"/>
    </i>
    <i>
      <x v="20"/>
    </i>
    <i>
      <x v="2"/>
    </i>
    <i>
      <x/>
    </i>
    <i>
      <x v="14"/>
    </i>
    <i>
      <x v="21"/>
    </i>
    <i>
      <x v="10"/>
    </i>
    <i>
      <x v="25"/>
    </i>
    <i>
      <x v="23"/>
    </i>
    <i>
      <x v="19"/>
    </i>
    <i>
      <x v="6"/>
    </i>
    <i>
      <x v="11"/>
    </i>
    <i>
      <x v="18"/>
    </i>
    <i>
      <x v="15"/>
    </i>
    <i>
      <x v="22"/>
    </i>
    <i>
      <x v="13"/>
    </i>
    <i>
      <x v="4"/>
    </i>
    <i t="grand">
      <x/>
    </i>
  </rowItems>
  <colFields count="1">
    <field x="8"/>
  </colFields>
  <colItems count="6">
    <i>
      <x v="1"/>
    </i>
    <i>
      <x v="2"/>
    </i>
    <i>
      <x v="3"/>
    </i>
    <i>
      <x v="4"/>
    </i>
    <i>
      <x v="5"/>
    </i>
    <i t="grand">
      <x/>
    </i>
  </colItems>
  <pageFields count="1">
    <pageField fld="3" item="0" hier="-1"/>
  </pageFields>
  <dataFields count="1">
    <dataField name="Sum of Amount" fld="5" baseField="1" baseItem="5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160679-B150-43A0-981B-F000FB9B63F3}" name="PivotTable4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Year" colHeaderCaption="Month">
  <location ref="Q5:AD12" firstHeaderRow="1" firstDataRow="2" firstDataCol="1" rowPageCount="1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showAll="0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</pivotField>
    <pivotField showAll="0"/>
    <pivotField axis="axisPage" showAll="0">
      <items count="2">
        <item x="0"/>
        <item t="default"/>
      </items>
    </pivotField>
    <pivotField showAll="0"/>
    <pivotField dataField="1"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8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6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3" item="0" hier="-1"/>
  </pageFields>
  <dataFields count="1">
    <dataField name="Sum of Amount" fld="5" baseField="8" baseItem="4" numFmtId="3"/>
  </dataFields>
  <formats count="3">
    <format dxfId="92">
      <pivotArea dataOnly="0" labelOnly="1" fieldPosition="0">
        <references count="1">
          <reference field="8" count="5">
            <x v="1"/>
            <x v="2"/>
            <x v="3"/>
            <x v="4"/>
            <x v="5"/>
          </reference>
        </references>
      </pivotArea>
    </format>
    <format dxfId="91">
      <pivotArea dataOnly="0" labelOnly="1" fieldPosition="0">
        <references count="1">
          <reference field="6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9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822AFC-0DFD-4874-8A43-2904B9634BAA}" name="PivotTable3" cacheId="12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 rowHeaderCaption=" Vendor" colHeaderCaption="Month">
  <location ref="A19:G47" firstHeaderRow="1" firstDataRow="2" firstDataCol="1" rowPageCount="1" colPageCount="1"/>
  <pivotFields count="9">
    <pivotField numFmtId="14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axis="axisRow" showAll="0" sortType="descending">
      <items count="27">
        <item x="3"/>
        <item x="1"/>
        <item x="14"/>
        <item x="23"/>
        <item x="17"/>
        <item x="21"/>
        <item x="11"/>
        <item x="9"/>
        <item x="6"/>
        <item x="8"/>
        <item x="13"/>
        <item x="12"/>
        <item x="22"/>
        <item x="15"/>
        <item x="20"/>
        <item x="25"/>
        <item x="5"/>
        <item x="2"/>
        <item x="0"/>
        <item x="16"/>
        <item x="10"/>
        <item x="4"/>
        <item x="18"/>
        <item x="19"/>
        <item x="7"/>
        <item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axis="axisPage" showAll="0">
      <items count="2">
        <item x="0"/>
        <item t="default"/>
      </items>
    </pivotField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Col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1">
    <field x="1"/>
  </rowFields>
  <rowItems count="27">
    <i>
      <x v="1"/>
    </i>
    <i>
      <x v="9"/>
    </i>
    <i>
      <x v="17"/>
    </i>
    <i>
      <x v="8"/>
    </i>
    <i>
      <x v="24"/>
    </i>
    <i>
      <x v="16"/>
    </i>
    <i>
      <x v="12"/>
    </i>
    <i>
      <x v="7"/>
    </i>
    <i>
      <x v="5"/>
    </i>
    <i>
      <x v="3"/>
    </i>
    <i>
      <x v="20"/>
    </i>
    <i>
      <x v="2"/>
    </i>
    <i>
      <x/>
    </i>
    <i>
      <x v="14"/>
    </i>
    <i>
      <x v="21"/>
    </i>
    <i>
      <x v="10"/>
    </i>
    <i>
      <x v="25"/>
    </i>
    <i>
      <x v="23"/>
    </i>
    <i>
      <x v="6"/>
    </i>
    <i>
      <x v="19"/>
    </i>
    <i>
      <x v="11"/>
    </i>
    <i>
      <x v="18"/>
    </i>
    <i>
      <x v="15"/>
    </i>
    <i>
      <x v="22"/>
    </i>
    <i>
      <x v="13"/>
    </i>
    <i>
      <x v="4"/>
    </i>
    <i t="grand">
      <x/>
    </i>
  </rowItems>
  <colFields count="1">
    <field x="8"/>
  </colFields>
  <colItems count="6">
    <i>
      <x v="1"/>
    </i>
    <i>
      <x v="2"/>
    </i>
    <i>
      <x v="3"/>
    </i>
    <i>
      <x v="4"/>
    </i>
    <i>
      <x v="5"/>
    </i>
    <i t="grand">
      <x/>
    </i>
  </colItems>
  <pageFields count="1">
    <pageField fld="3" item="0" hier="-1"/>
  </pageFields>
  <dataFields count="1">
    <dataField name="Sum of Qty" fld="2" baseField="1" baseItem="17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9326D1-1179-4DFA-B823-EFD2864017DC}" name="Table4" displayName="Table4" ref="H2:U9" totalsRowCount="1" headerRowDxfId="87" dataDxfId="86" tableBorderDxfId="85">
  <autoFilter ref="H2:U8" xr:uid="{469326D1-1179-4DFA-B823-EFD2864017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80E2449-7E4E-43C5-A9E8-4E2CA7A8E60F}" name="Year" totalsRowLabel="Total" dataDxfId="84" totalsRowDxfId="83"/>
    <tableColumn id="2" xr3:uid="{90951267-6307-4038-B838-B5D4E71CF6CF}" name="January" totalsRowFunction="custom" dataDxfId="82" totalsRowDxfId="81">
      <calculatedColumnFormula>IF($D$3="lb",SUMIFS($C$3:$C$1000,$B$3:$B$1000,IF($I$1="","&lt;&gt;"&amp;$I$1,$I$1),$A$3:$A$1000,"&gt;="&amp;I$2&amp;$H3,$A$3:$A$1000,"&lt;="&amp;EOMONTH(I$2&amp;$H3,0)),SUMIFS($C$3:$C$1000,$B$3:$B$1000,IF($I$1="","&lt;&gt;"&amp;$I$1,$I$1),$A$3:$A$1000,"&gt;="&amp;I$2&amp;$H3,$A$3:$A$1000,"&lt;="&amp;EOMONTH(I$2&amp;$H3,0))/2.20462)</calculatedColumnFormula>
      <totalsRowFormula>SUM(Table4[January])</totalsRowFormula>
    </tableColumn>
    <tableColumn id="3" xr3:uid="{25143E80-62FA-4727-BA2D-89C77B4C7CC5}" name="February" totalsRowFunction="custom" dataDxfId="80" totalsRowDxfId="79">
      <calculatedColumnFormula>IF($D$3="lb",SUMIFS($C$3:$C$1000,$B$3:$B$1000,IF($I$1="","&lt;&gt;"&amp;$I$1,$I$1),$A$3:$A$1000,"&gt;="&amp;J$2&amp;$H3,$A$3:$A$1000,"&lt;="&amp;EOMONTH(J$2&amp;$H3,0)),SUMIFS($C$3:$C$1000,$B$3:$B$1000,IF($I$1="","&lt;&gt;"&amp;$I$1,$I$1),$A$3:$A$1000,"&gt;="&amp;J$2&amp;$H3,$A$3:$A$1000,"&lt;="&amp;EOMONTH(J$2&amp;$H3,0))/2.20462)</calculatedColumnFormula>
      <totalsRowFormula>SUM(Table4[February])</totalsRowFormula>
    </tableColumn>
    <tableColumn id="4" xr3:uid="{C44C23C5-FC0B-483A-AF3B-D3F4B8FB49E0}" name="March" totalsRowFunction="custom" dataDxfId="78" totalsRowDxfId="77">
      <calculatedColumnFormula>IF($D$3="lb",SUMIFS($C$3:$C$1000,$B$3:$B$1000,IF($I$1="","&lt;&gt;"&amp;$I$1,$I$1),$A$3:$A$1000,"&gt;="&amp;K$2&amp;$H3,$A$3:$A$1000,"&lt;="&amp;EOMONTH(K$2&amp;$H3,0)),SUMIFS($C$3:$C$1000,$B$3:$B$1000,IF($I$1="","&lt;&gt;"&amp;$I$1,$I$1),$A$3:$A$1000,"&gt;="&amp;K$2&amp;$H3,$A$3:$A$1000,"&lt;="&amp;EOMONTH(K$2&amp;$H3,0))/2.20462)</calculatedColumnFormula>
      <totalsRowFormula>SUM(Table4[March])</totalsRowFormula>
    </tableColumn>
    <tableColumn id="5" xr3:uid="{6E9EAB7E-579F-4539-9A61-2FA8DCA94D77}" name="April" totalsRowFunction="custom" dataDxfId="76" totalsRowDxfId="75">
      <calculatedColumnFormula>IF($D$3="lb",SUMIFS($C$3:$C$1000,$B$3:$B$1000,IF($I$1="","&lt;&gt;"&amp;$I$1,$I$1),$A$3:$A$1000,"&gt;="&amp;L$2&amp;$H3,$A$3:$A$1000,"&lt;="&amp;EOMONTH(L$2&amp;$H3,0)),SUMIFS($C$3:$C$1000,$B$3:$B$1000,IF($I$1="","&lt;&gt;"&amp;$I$1,$I$1),$A$3:$A$1000,"&gt;="&amp;L$2&amp;$H3,$A$3:$A$1000,"&lt;="&amp;EOMONTH(L$2&amp;$H3,0))/2.20462)</calculatedColumnFormula>
      <totalsRowFormula>SUM(Table4[April])</totalsRowFormula>
    </tableColumn>
    <tableColumn id="6" xr3:uid="{24671660-A1C8-4435-8CC4-BE125731C233}" name="May" totalsRowFunction="custom" dataDxfId="74" totalsRowDxfId="73">
      <calculatedColumnFormula>IF($D$3="lb",SUMIFS($C$3:$C$1000,$B$3:$B$1000,IF($I$1="","&lt;&gt;"&amp;$I$1,$I$1),$A$3:$A$1000,"&gt;="&amp;M$2&amp;$H3,$A$3:$A$1000,"&lt;="&amp;EOMONTH(M$2&amp;$H3,0)),SUMIFS($C$3:$C$1000,$B$3:$B$1000,IF($I$1="","&lt;&gt;"&amp;$I$1,$I$1),$A$3:$A$1000,"&gt;="&amp;M$2&amp;$H3,$A$3:$A$1000,"&lt;="&amp;EOMONTH(M$2&amp;$H3,0))/2.20462)</calculatedColumnFormula>
      <totalsRowFormula>SUM(Table4[May])</totalsRowFormula>
    </tableColumn>
    <tableColumn id="7" xr3:uid="{FAE3B49B-4891-4976-A30B-A01554994739}" name="June" totalsRowFunction="custom" dataDxfId="72" totalsRowDxfId="71">
      <calculatedColumnFormula>IF($D$3="lb",SUMIFS($C$3:$C$1000,$B$3:$B$1000,IF($I$1="","&lt;&gt;"&amp;$I$1,$I$1),$A$3:$A$1000,"&gt;="&amp;N$2&amp;$H3,$A$3:$A$1000,"&lt;="&amp;EOMONTH(N$2&amp;$H3,0)),SUMIFS($C$3:$C$1000,$B$3:$B$1000,IF($I$1="","&lt;&gt;"&amp;$I$1,$I$1),$A$3:$A$1000,"&gt;="&amp;N$2&amp;$H3,$A$3:$A$1000,"&lt;="&amp;EOMONTH(N$2&amp;$H3,0))/2.20462)</calculatedColumnFormula>
      <totalsRowFormula>SUM(Table4[June])</totalsRowFormula>
    </tableColumn>
    <tableColumn id="8" xr3:uid="{6A1DA84B-E654-4194-A63E-EE9A4708A736}" name="July" totalsRowFunction="custom" dataDxfId="70" totalsRowDxfId="69">
      <calculatedColumnFormula>IF($D$3="lb",SUMIFS($C$3:$C$1000,$B$3:$B$1000,IF($I$1="","&lt;&gt;"&amp;$I$1,$I$1),$A$3:$A$1000,"&gt;="&amp;O$2&amp;$H3,$A$3:$A$1000,"&lt;="&amp;EOMONTH(O$2&amp;$H3,0)),SUMIFS($C$3:$C$1000,$B$3:$B$1000,IF($I$1="","&lt;&gt;"&amp;$I$1,$I$1),$A$3:$A$1000,"&gt;="&amp;O$2&amp;$H3,$A$3:$A$1000,"&lt;="&amp;EOMONTH(O$2&amp;$H3,0))/2.20462)</calculatedColumnFormula>
      <totalsRowFormula>SUM(Table4[July])</totalsRowFormula>
    </tableColumn>
    <tableColumn id="9" xr3:uid="{312DAA08-A690-4D1B-B575-329C8C98A5DF}" name="August" totalsRowFunction="custom" dataDxfId="68" totalsRowDxfId="67">
      <calculatedColumnFormula>IF($D$3="lb",SUMIFS($C$3:$C$1000,$B$3:$B$1000,IF($I$1="","&lt;&gt;"&amp;$I$1,$I$1),$A$3:$A$1000,"&gt;="&amp;P$2&amp;$H3,$A$3:$A$1000,"&lt;="&amp;EOMONTH(P$2&amp;$H3,0)),SUMIFS($C$3:$C$1000,$B$3:$B$1000,IF($I$1="","&lt;&gt;"&amp;$I$1,$I$1),$A$3:$A$1000,"&gt;="&amp;P$2&amp;$H3,$A$3:$A$1000,"&lt;="&amp;EOMONTH(P$2&amp;$H3,0))/2.20462)</calculatedColumnFormula>
      <totalsRowFormula>SUM(Table4[August])</totalsRowFormula>
    </tableColumn>
    <tableColumn id="10" xr3:uid="{E611FF11-5A67-4C8F-AD49-08BD5B61A00B}" name="September" totalsRowFunction="custom" dataDxfId="66" totalsRowDxfId="65">
      <calculatedColumnFormula>IF($D$3="lb",SUMIFS($C$3:$C$1000,$B$3:$B$1000,IF($I$1="","&lt;&gt;"&amp;$I$1,$I$1),$A$3:$A$1000,"&gt;="&amp;Q$2&amp;$H3,$A$3:$A$1000,"&lt;="&amp;EOMONTH(Q$2&amp;$H3,0)),SUMIFS($C$3:$C$1000,$B$3:$B$1000,IF($I$1="","&lt;&gt;"&amp;$I$1,$I$1),$A$3:$A$1000,"&gt;="&amp;Q$2&amp;$H3,$A$3:$A$1000,"&lt;="&amp;EOMONTH(Q$2&amp;$H3,0))/2.20462)</calculatedColumnFormula>
      <totalsRowFormula>SUM(Table4[September])</totalsRowFormula>
    </tableColumn>
    <tableColumn id="11" xr3:uid="{BA7A6E54-3B09-4142-B4D8-CDCC6C846AC2}" name="October" totalsRowFunction="custom" dataDxfId="64" totalsRowDxfId="63">
      <calculatedColumnFormula>IF($D$3="lb",SUMIFS($C$3:$C$1000,$B$3:$B$1000,IF($I$1="","&lt;&gt;"&amp;$I$1,$I$1),$A$3:$A$1000,"&gt;="&amp;R$2&amp;$H3,$A$3:$A$1000,"&lt;="&amp;EOMONTH(R$2&amp;$H3,0)),SUMIFS($C$3:$C$1000,$B$3:$B$1000,IF($I$1="","&lt;&gt;"&amp;$I$1,$I$1),$A$3:$A$1000,"&gt;="&amp;R$2&amp;$H3,$A$3:$A$1000,"&lt;="&amp;EOMONTH(R$2&amp;$H3,0))/2.20462)</calculatedColumnFormula>
      <totalsRowFormula>SUM(Table4[October])</totalsRowFormula>
    </tableColumn>
    <tableColumn id="12" xr3:uid="{8664B1C2-AE7B-4478-9234-8D39AA382E9E}" name="November" totalsRowFunction="custom" dataDxfId="62" totalsRowDxfId="61">
      <calculatedColumnFormula>IF($D$3="lb",SUMIFS($C$3:$C$1000,$B$3:$B$1000,IF($I$1="","&lt;&gt;"&amp;$I$1,$I$1),$A$3:$A$1000,"&gt;="&amp;S$2&amp;$H3,$A$3:$A$1000,"&lt;="&amp;EOMONTH(S$2&amp;$H3,0)),SUMIFS($C$3:$C$1000,$B$3:$B$1000,IF($I$1="","&lt;&gt;"&amp;$I$1,$I$1),$A$3:$A$1000,"&gt;="&amp;S$2&amp;$H3,$A$3:$A$1000,"&lt;="&amp;EOMONTH(S$2&amp;$H3,0))/2.20462)</calculatedColumnFormula>
      <totalsRowFormula>SUM(Table4[November])</totalsRowFormula>
    </tableColumn>
    <tableColumn id="13" xr3:uid="{2FCF6990-3D0F-4FB5-B988-18D2DF6902EC}" name="December" totalsRowFunction="custom" dataDxfId="60" totalsRowDxfId="59">
      <calculatedColumnFormula>IF($D$3="lb",SUMIFS($C$3:$C$1000,$B$3:$B$1000,IF($I$1="","&lt;&gt;"&amp;$I$1,$I$1),$A$3:$A$1000,"&gt;="&amp;T$2&amp;$H3,$A$3:$A$1000,"&lt;="&amp;EOMONTH(T$2&amp;$H3,0)),SUMIFS($C$3:$C$1000,$B$3:$B$1000,IF($I$1="","&lt;&gt;"&amp;$I$1,$I$1),$A$3:$A$1000,"&gt;="&amp;T$2&amp;$H3,$A$3:$A$1000,"&lt;="&amp;EOMONTH(T$2&amp;$H3,0))/2.20462)</calculatedColumnFormula>
      <totalsRowFormula>SUM(Table4[December])</totalsRowFormula>
    </tableColumn>
    <tableColumn id="14" xr3:uid="{6728F785-15BE-42F6-8917-5DAB7A837BE8}" name="TOTALS:" totalsRowFunction="sum" dataDxfId="58" totalsRowDxfId="57">
      <calculatedColumnFormula>SUM(I3:T3)</calculatedColumnFormula>
    </tableColumn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A6B74D7-9E19-4FB0-AFFD-2FC2AF225609}" name="Table47" displayName="Table47" ref="H23:U30" totalsRowCount="1" headerRowDxfId="56" dataDxfId="55" tableBorderDxfId="54">
  <autoFilter ref="H23:U29" xr:uid="{7A6B74D7-9E19-4FB0-AFFD-2FC2AF225609}"/>
  <tableColumns count="14">
    <tableColumn id="1" xr3:uid="{A674760D-9B5E-4B08-8165-141A234A568A}" name="Year" totalsRowLabel="Total" dataDxfId="53" totalsRowDxfId="52"/>
    <tableColumn id="2" xr3:uid="{FC522C22-54B2-426D-88A5-28BC2375DCBA}" name="January" totalsRowFunction="custom" dataDxfId="51" totalsRowDxfId="50">
      <calculatedColumnFormula>IF($D$3="lb",SUMIFS($F$3:$F$1000,$B$3:$B$1000,IF($I$1="","&lt;&gt;"&amp;$I$1,$I$1),$A$3:$A$1000,"&gt;="&amp;I$2&amp;$H3,$A$3:$A$1000,"&lt;="&amp;EOMONTH(I$2&amp;$H3,0)),SUMIFS($F$3:$F$1000,$B$3:$B$1000,IF($I$1="","&lt;&gt;"&amp;$I$1,$I$1),$A$3:$A$1000,"&gt;="&amp;I$2&amp;$H3,$A$3:$A$1000,"&lt;="&amp;EOMONTH(I$2&amp;$H3,0))/2.20462)</calculatedColumnFormula>
      <totalsRowFormula>SUM(Table47[January])</totalsRowFormula>
    </tableColumn>
    <tableColumn id="3" xr3:uid="{08102A77-D62B-4F94-94B7-F99F30592A76}" name="February" totalsRowFunction="custom" dataDxfId="49" totalsRowDxfId="48">
      <calculatedColumnFormula>IF($D$3="lb",SUMIFS($F$3:$F$1000,$B$3:$B$1000,IF($I$1="","&lt;&gt;"&amp;$I$1,$I$1),$A$3:$A$1000,"&gt;="&amp;J$2&amp;$H3,$A$3:$A$1000,"&lt;="&amp;EOMONTH(J$2&amp;$H3,0)),SUMIFS($F$3:$F$1000,$B$3:$B$1000,IF($I$1="","&lt;&gt;"&amp;$I$1,$I$1),$A$3:$A$1000,"&gt;="&amp;J$2&amp;$H3,$A$3:$A$1000,"&lt;="&amp;EOMONTH(J$2&amp;$H3,0))/2.20462)</calculatedColumnFormula>
      <totalsRowFormula>SUM(Table47[February])</totalsRowFormula>
    </tableColumn>
    <tableColumn id="4" xr3:uid="{752A0626-A6AF-412A-8F26-BD6B40037930}" name="March" totalsRowFunction="custom" dataDxfId="47" totalsRowDxfId="46">
      <calculatedColumnFormula>IF($D$3="lb",SUMIFS($F$3:$F$1000,$B$3:$B$1000,IF($I$1="","&lt;&gt;"&amp;$I$1,$I$1),$A$3:$A$1000,"&gt;="&amp;K$2&amp;$H3,$A$3:$A$1000,"&lt;="&amp;EOMONTH(K$2&amp;$H3,0)),SUMIFS($F$3:$F$1000,$B$3:$B$1000,IF($I$1="","&lt;&gt;"&amp;$I$1,$I$1),$A$3:$A$1000,"&gt;="&amp;K$2&amp;$H3,$A$3:$A$1000,"&lt;="&amp;EOMONTH(K$2&amp;$H3,0))/2.20462)</calculatedColumnFormula>
      <totalsRowFormula>SUM(Table47[March])</totalsRowFormula>
    </tableColumn>
    <tableColumn id="5" xr3:uid="{E98ECC37-A3A8-473E-9213-93B4A951C239}" name="April" totalsRowFunction="custom" dataDxfId="45" totalsRowDxfId="44">
      <calculatedColumnFormula>IF($D$3="lb",SUMIFS($F$3:$F$1000,$B$3:$B$1000,IF($I$1="","&lt;&gt;"&amp;$I$1,$I$1),$A$3:$A$1000,"&gt;="&amp;L$2&amp;$H3,$A$3:$A$1000,"&lt;="&amp;EOMONTH(L$2&amp;$H3,0)),SUMIFS($F$3:$F$1000,$B$3:$B$1000,IF($I$1="","&lt;&gt;"&amp;$I$1,$I$1),$A$3:$A$1000,"&gt;="&amp;L$2&amp;$H3,$A$3:$A$1000,"&lt;="&amp;EOMONTH(L$2&amp;$H3,0))/2.20462)</calculatedColumnFormula>
      <totalsRowFormula>SUM(Table47[April])</totalsRowFormula>
    </tableColumn>
    <tableColumn id="6" xr3:uid="{4AC62A17-7A0C-4B76-B77B-9C08EA05D0B3}" name="May" totalsRowFunction="custom" dataDxfId="43" totalsRowDxfId="42">
      <calculatedColumnFormula>IF($D$3="lb",SUMIFS($F$3:$F$1000,$B$3:$B$1000,IF($I$1="","&lt;&gt;"&amp;$I$1,$I$1),$A$3:$A$1000,"&gt;="&amp;M$2&amp;$H3,$A$3:$A$1000,"&lt;="&amp;EOMONTH(M$2&amp;$H3,0)),SUMIFS($F$3:$F$1000,$B$3:$B$1000,IF($I$1="","&lt;&gt;"&amp;$I$1,$I$1),$A$3:$A$1000,"&gt;="&amp;M$2&amp;$H3,$A$3:$A$1000,"&lt;="&amp;EOMONTH(M$2&amp;$H3,0))/2.20462)</calculatedColumnFormula>
      <totalsRowFormula>SUM(Table47[May])</totalsRowFormula>
    </tableColumn>
    <tableColumn id="7" xr3:uid="{42877DEC-081A-4E95-9DA6-E7400477AF77}" name="June" totalsRowFunction="custom" dataDxfId="41" totalsRowDxfId="40">
      <calculatedColumnFormula>IF($D$3="lb",SUMIFS($F$3:$F$1000,$B$3:$B$1000,IF($I$1="","&lt;&gt;"&amp;$I$1,$I$1),$A$3:$A$1000,"&gt;="&amp;N$2&amp;$H3,$A$3:$A$1000,"&lt;="&amp;EOMONTH(N$2&amp;$H3,0)),SUMIFS($F$3:$F$1000,$B$3:$B$1000,IF($I$1="","&lt;&gt;"&amp;$I$1,$I$1),$A$3:$A$1000,"&gt;="&amp;N$2&amp;$H3,$A$3:$A$1000,"&lt;="&amp;EOMONTH(N$2&amp;$H3,0))/2.20462)</calculatedColumnFormula>
      <totalsRowFormula>SUM(Table47[June])</totalsRowFormula>
    </tableColumn>
    <tableColumn id="8" xr3:uid="{2D66CF59-1C8D-4D27-A191-A1611FC5FA47}" name="July" totalsRowFunction="custom" dataDxfId="39" totalsRowDxfId="38">
      <calculatedColumnFormula>IF($D$3="lb",SUMIFS($F$3:$F$1000,$B$3:$B$1000,IF($I$1="","&lt;&gt;"&amp;$I$1,$I$1),$A$3:$A$1000,"&gt;="&amp;O$2&amp;$H3,$A$3:$A$1000,"&lt;="&amp;EOMONTH(O$2&amp;$H3,0)),SUMIFS($F$3:$F$1000,$B$3:$B$1000,IF($I$1="","&lt;&gt;"&amp;$I$1,$I$1),$A$3:$A$1000,"&gt;="&amp;O$2&amp;$H3,$A$3:$A$1000,"&lt;="&amp;EOMONTH(O$2&amp;$H3,0))/2.20462)</calculatedColumnFormula>
      <totalsRowFormula>SUM(Table47[July])</totalsRowFormula>
    </tableColumn>
    <tableColumn id="9" xr3:uid="{4E590BC8-01F1-4D72-83C2-D712AE4B5E6A}" name="August" totalsRowFunction="custom" dataDxfId="37" totalsRowDxfId="36">
      <calculatedColumnFormula>IF($D$3="lb",SUMIFS($F$3:$F$1000,$B$3:$B$1000,IF($I$1="","&lt;&gt;"&amp;$I$1,$I$1),$A$3:$A$1000,"&gt;="&amp;P$2&amp;$H3,$A$3:$A$1000,"&lt;="&amp;EOMONTH(P$2&amp;$H3,0)),SUMIFS($F$3:$F$1000,$B$3:$B$1000,IF($I$1="","&lt;&gt;"&amp;$I$1,$I$1),$A$3:$A$1000,"&gt;="&amp;P$2&amp;$H3,$A$3:$A$1000,"&lt;="&amp;EOMONTH(P$2&amp;$H3,0))/2.20462)</calculatedColumnFormula>
      <totalsRowFormula>SUM(Table47[August])</totalsRowFormula>
    </tableColumn>
    <tableColumn id="10" xr3:uid="{C704A295-97A1-4D02-A3DD-6B5E1E6AC2CE}" name="September" totalsRowFunction="custom" dataDxfId="35" totalsRowDxfId="34">
      <calculatedColumnFormula>IF($D$3="lb",SUMIFS($F$3:$F$1000,$B$3:$B$1000,IF($I$1="","&lt;&gt;"&amp;$I$1,$I$1),$A$3:$A$1000,"&gt;="&amp;Q$2&amp;$H3,$A$3:$A$1000,"&lt;="&amp;EOMONTH(Q$2&amp;$H3,0)),SUMIFS($F$3:$F$1000,$B$3:$B$1000,IF($I$1="","&lt;&gt;"&amp;$I$1,$I$1),$A$3:$A$1000,"&gt;="&amp;Q$2&amp;$H3,$A$3:$A$1000,"&lt;="&amp;EOMONTH(Q$2&amp;$H3,0))/2.20462)</calculatedColumnFormula>
      <totalsRowFormula>SUM(Table47[September])</totalsRowFormula>
    </tableColumn>
    <tableColumn id="11" xr3:uid="{441B6424-DC04-4041-AE31-2DA1F01E22BF}" name="October" totalsRowFunction="custom" dataDxfId="33" totalsRowDxfId="32">
      <calculatedColumnFormula>IF($D$3="lb",SUMIFS($F$3:$F$1000,$B$3:$B$1000,IF($I$1="","&lt;&gt;"&amp;$I$1,$I$1),$A$3:$A$1000,"&gt;="&amp;R$2&amp;$H3,$A$3:$A$1000,"&lt;="&amp;EOMONTH(R$2&amp;$H3,0)),SUMIFS($F$3:$F$1000,$B$3:$B$1000,IF($I$1="","&lt;&gt;"&amp;$I$1,$I$1),$A$3:$A$1000,"&gt;="&amp;R$2&amp;$H3,$A$3:$A$1000,"&lt;="&amp;EOMONTH(R$2&amp;$H3,0))/2.20462)</calculatedColumnFormula>
      <totalsRowFormula>SUM(Table47[October])</totalsRowFormula>
    </tableColumn>
    <tableColumn id="12" xr3:uid="{2165C6AD-263C-4894-AE09-85BD8D71FA91}" name="November" totalsRowFunction="custom" dataDxfId="31" totalsRowDxfId="30">
      <calculatedColumnFormula>IF($D$3="lb",SUMIFS($F$3:$F$1000,$B$3:$B$1000,IF($I$1="","&lt;&gt;"&amp;$I$1,$I$1),$A$3:$A$1000,"&gt;="&amp;S$2&amp;$H3,$A$3:$A$1000,"&lt;="&amp;EOMONTH(S$2&amp;$H3,0)),SUMIFS($F$3:$F$1000,$B$3:$B$1000,IF($I$1="","&lt;&gt;"&amp;$I$1,$I$1),$A$3:$A$1000,"&gt;="&amp;S$2&amp;$H3,$A$3:$A$1000,"&lt;="&amp;EOMONTH(S$2&amp;$H3,0))/2.20462)</calculatedColumnFormula>
      <totalsRowFormula>SUM(Table47[November])</totalsRowFormula>
    </tableColumn>
    <tableColumn id="13" xr3:uid="{8D16B536-B982-4080-B306-B555E11EFCC7}" name="December" totalsRowFunction="custom" dataDxfId="29" totalsRowDxfId="28">
      <calculatedColumnFormula>IF($D$3="lb",SUMIFS($F$3:$F$1000,$B$3:$B$1000,IF($I$1="","&lt;&gt;"&amp;$I$1,$I$1),$A$3:$A$1000,"&gt;="&amp;T$2&amp;$H3,$A$3:$A$1000,"&lt;="&amp;EOMONTH(T$2&amp;$H3,0)),SUMIFS($F$3:$F$1000,$B$3:$B$1000,IF($I$1="","&lt;&gt;"&amp;$I$1,$I$1),$A$3:$A$1000,"&gt;="&amp;T$2&amp;$H3,$A$3:$A$1000,"&lt;="&amp;EOMONTH(T$2&amp;$H3,0))/2.20462)</calculatedColumnFormula>
      <totalsRowFormula>SUM(Table47[December])</totalsRowFormula>
    </tableColumn>
    <tableColumn id="14" xr3:uid="{2B9E8CCA-C5F8-4D73-93C2-B7EEEF74E3F1}" name="TOTALS:" totalsRowFunction="sum" dataDxfId="27" totalsRowDxfId="26">
      <calculatedColumnFormula>SUM(I24:T24)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11568-D90C-4767-AD06-421E4D6E9030}">
  <dimension ref="A1:AD69"/>
  <sheetViews>
    <sheetView tabSelected="1" workbookViewId="0">
      <selection activeCell="B26" sqref="B26"/>
    </sheetView>
  </sheetViews>
  <sheetFormatPr defaultColWidth="8.85546875" defaultRowHeight="15" x14ac:dyDescent="0.25"/>
  <cols>
    <col min="1" max="1" width="19.85546875" bestFit="1" customWidth="1"/>
    <col min="2" max="2" width="10.7109375" customWidth="1"/>
    <col min="3" max="14" width="11.7109375" customWidth="1"/>
    <col min="17" max="17" width="25" bestFit="1" customWidth="1"/>
    <col min="18" max="30" width="11.42578125" customWidth="1"/>
  </cols>
  <sheetData>
    <row r="1" spans="1:30" ht="18.75" x14ac:dyDescent="0.3">
      <c r="A1" s="82" t="s">
        <v>94</v>
      </c>
      <c r="Q1" s="82" t="s">
        <v>99</v>
      </c>
    </row>
    <row r="3" spans="1:30" x14ac:dyDescent="0.25">
      <c r="A3" s="79" t="s">
        <v>2</v>
      </c>
      <c r="B3" t="s">
        <v>5</v>
      </c>
      <c r="Q3" s="79" t="s">
        <v>2</v>
      </c>
      <c r="R3" t="s">
        <v>5</v>
      </c>
    </row>
    <row r="5" spans="1:30" x14ac:dyDescent="0.25">
      <c r="A5" s="79" t="s">
        <v>93</v>
      </c>
      <c r="B5" s="79" t="s">
        <v>95</v>
      </c>
      <c r="Q5" s="79" t="s">
        <v>98</v>
      </c>
      <c r="R5" s="79" t="s">
        <v>95</v>
      </c>
    </row>
    <row r="6" spans="1:30" x14ac:dyDescent="0.25">
      <c r="A6" s="79" t="s">
        <v>97</v>
      </c>
      <c r="B6" s="83" t="s">
        <v>82</v>
      </c>
      <c r="C6" s="83" t="s">
        <v>83</v>
      </c>
      <c r="D6" s="83" t="s">
        <v>84</v>
      </c>
      <c r="E6" s="83" t="s">
        <v>85</v>
      </c>
      <c r="F6" s="83" t="s">
        <v>10</v>
      </c>
      <c r="G6" s="83" t="s">
        <v>86</v>
      </c>
      <c r="H6" s="83" t="s">
        <v>87</v>
      </c>
      <c r="I6" s="83" t="s">
        <v>88</v>
      </c>
      <c r="J6" s="83" t="s">
        <v>89</v>
      </c>
      <c r="K6" s="83" t="s">
        <v>90</v>
      </c>
      <c r="L6" s="83" t="s">
        <v>91</v>
      </c>
      <c r="M6" s="83" t="s">
        <v>92</v>
      </c>
      <c r="N6" t="s">
        <v>76</v>
      </c>
      <c r="Q6" s="79" t="s">
        <v>97</v>
      </c>
      <c r="R6" s="83" t="s">
        <v>82</v>
      </c>
      <c r="S6" s="83" t="s">
        <v>83</v>
      </c>
      <c r="T6" s="83" t="s">
        <v>84</v>
      </c>
      <c r="U6" s="83" t="s">
        <v>85</v>
      </c>
      <c r="V6" s="83" t="s">
        <v>10</v>
      </c>
      <c r="W6" s="83" t="s">
        <v>86</v>
      </c>
      <c r="X6" s="83" t="s">
        <v>87</v>
      </c>
      <c r="Y6" s="83" t="s">
        <v>88</v>
      </c>
      <c r="Z6" s="83" t="s">
        <v>89</v>
      </c>
      <c r="AA6" s="83" t="s">
        <v>90</v>
      </c>
      <c r="AB6" s="83" t="s">
        <v>91</v>
      </c>
      <c r="AC6" s="83" t="s">
        <v>92</v>
      </c>
      <c r="AD6" t="s">
        <v>76</v>
      </c>
    </row>
    <row r="7" spans="1:30" x14ac:dyDescent="0.25">
      <c r="A7" t="s">
        <v>77</v>
      </c>
      <c r="B7" s="81"/>
      <c r="C7" s="81">
        <v>7839.9983165870717</v>
      </c>
      <c r="D7" s="81">
        <v>2010</v>
      </c>
      <c r="E7" s="81">
        <v>1974.0000000000002</v>
      </c>
      <c r="F7" s="81">
        <v>4588.9997240246857</v>
      </c>
      <c r="G7" s="81">
        <v>5696</v>
      </c>
      <c r="H7" s="81">
        <v>3157.9998596972578</v>
      </c>
      <c r="I7" s="81">
        <v>3741</v>
      </c>
      <c r="J7" s="81">
        <v>4293</v>
      </c>
      <c r="K7" s="81">
        <v>11137</v>
      </c>
      <c r="L7" s="81">
        <v>6349</v>
      </c>
      <c r="M7" s="81">
        <v>14569.001814728019</v>
      </c>
      <c r="N7" s="81">
        <v>65355.999715037033</v>
      </c>
      <c r="Q7" t="s">
        <v>77</v>
      </c>
      <c r="R7" s="81"/>
      <c r="S7" s="81">
        <v>43115.25</v>
      </c>
      <c r="T7" s="81">
        <v>11055</v>
      </c>
      <c r="U7" s="81">
        <v>11080.05</v>
      </c>
      <c r="V7" s="81">
        <v>26272.9</v>
      </c>
      <c r="W7" s="81">
        <v>32515.75</v>
      </c>
      <c r="X7" s="81">
        <v>17784.75</v>
      </c>
      <c r="Y7" s="81">
        <v>21915.25</v>
      </c>
      <c r="Z7" s="81">
        <v>24684.75</v>
      </c>
      <c r="AA7" s="81">
        <v>65386.25</v>
      </c>
      <c r="AB7" s="81">
        <v>39349.75</v>
      </c>
      <c r="AC7" s="81">
        <v>89209.25</v>
      </c>
      <c r="AD7" s="81">
        <v>382368.95</v>
      </c>
    </row>
    <row r="8" spans="1:30" x14ac:dyDescent="0.25">
      <c r="A8" t="s">
        <v>78</v>
      </c>
      <c r="B8" s="81">
        <v>5800</v>
      </c>
      <c r="C8" s="81">
        <v>2882.0002144312211</v>
      </c>
      <c r="D8" s="81">
        <v>7275.0000709215665</v>
      </c>
      <c r="E8" s="81">
        <v>7575</v>
      </c>
      <c r="F8" s="81">
        <v>938</v>
      </c>
      <c r="G8" s="81">
        <v>2476.0003440387654</v>
      </c>
      <c r="H8" s="81">
        <v>3682.0005057049843</v>
      </c>
      <c r="I8" s="81">
        <v>1784</v>
      </c>
      <c r="J8" s="81">
        <v>3888.2</v>
      </c>
      <c r="K8" s="81">
        <v>1581.7999989627376</v>
      </c>
      <c r="L8" s="81">
        <v>6683.0001038917862</v>
      </c>
      <c r="M8" s="81">
        <v>336.40000368021219</v>
      </c>
      <c r="N8" s="81">
        <v>44901.401241631269</v>
      </c>
      <c r="Q8" t="s">
        <v>78</v>
      </c>
      <c r="R8" s="81">
        <v>37492.1</v>
      </c>
      <c r="S8" s="81">
        <v>19766.5</v>
      </c>
      <c r="T8" s="81">
        <v>52912.25</v>
      </c>
      <c r="U8" s="81">
        <v>55690.5</v>
      </c>
      <c r="V8" s="81">
        <v>6946.25</v>
      </c>
      <c r="W8" s="81">
        <v>17915.25</v>
      </c>
      <c r="X8" s="81">
        <v>28127</v>
      </c>
      <c r="Y8" s="81">
        <v>13215.25</v>
      </c>
      <c r="Z8" s="81">
        <v>29844.55</v>
      </c>
      <c r="AA8" s="81">
        <v>12248.75</v>
      </c>
      <c r="AB8" s="81">
        <v>50743.45</v>
      </c>
      <c r="AC8" s="81">
        <v>2662.65</v>
      </c>
      <c r="AD8" s="81">
        <v>327564.50000000006</v>
      </c>
    </row>
    <row r="9" spans="1:30" x14ac:dyDescent="0.25">
      <c r="A9" t="s">
        <v>79</v>
      </c>
      <c r="B9" s="81">
        <v>12339.999515269026</v>
      </c>
      <c r="C9" s="81">
        <v>2081</v>
      </c>
      <c r="D9" s="81">
        <v>6000.4000000000005</v>
      </c>
      <c r="E9" s="81">
        <v>3746.0000659101906</v>
      </c>
      <c r="F9" s="81">
        <v>1847</v>
      </c>
      <c r="G9" s="81">
        <v>1077.0000664486167</v>
      </c>
      <c r="H9" s="81">
        <v>223</v>
      </c>
      <c r="I9" s="81">
        <v>13021.799996337173</v>
      </c>
      <c r="J9" s="81">
        <v>218</v>
      </c>
      <c r="K9" s="81">
        <v>9853.699904973173</v>
      </c>
      <c r="L9" s="81">
        <v>10071.000126171404</v>
      </c>
      <c r="M9" s="81">
        <v>2574</v>
      </c>
      <c r="N9" s="81">
        <v>63052.899675109591</v>
      </c>
      <c r="Q9" t="s">
        <v>79</v>
      </c>
      <c r="R9" s="81">
        <v>102180.25</v>
      </c>
      <c r="S9" s="81">
        <v>17688.5</v>
      </c>
      <c r="T9" s="81">
        <v>52909.5</v>
      </c>
      <c r="U9" s="81">
        <v>32390.75</v>
      </c>
      <c r="V9" s="81">
        <v>16193.25</v>
      </c>
      <c r="W9" s="81">
        <v>9486</v>
      </c>
      <c r="X9" s="81">
        <v>2007</v>
      </c>
      <c r="Y9" s="81">
        <v>117101</v>
      </c>
      <c r="Z9" s="81">
        <v>1853</v>
      </c>
      <c r="AA9" s="81">
        <v>86335.7</v>
      </c>
      <c r="AB9" s="81">
        <v>92154.05</v>
      </c>
      <c r="AC9" s="81">
        <v>22379</v>
      </c>
      <c r="AD9" s="81">
        <v>552678</v>
      </c>
    </row>
    <row r="10" spans="1:30" x14ac:dyDescent="0.25">
      <c r="A10" t="s">
        <v>80</v>
      </c>
      <c r="B10" s="81">
        <v>14132.001516877475</v>
      </c>
      <c r="C10" s="81"/>
      <c r="D10" s="81">
        <v>10884</v>
      </c>
      <c r="E10" s="81">
        <v>2429.9998583607021</v>
      </c>
      <c r="F10" s="81">
        <v>10322</v>
      </c>
      <c r="G10" s="81">
        <v>5770.999863066726</v>
      </c>
      <c r="H10" s="81">
        <v>10081.999595153306</v>
      </c>
      <c r="I10" s="81">
        <v>1604.1877445558937</v>
      </c>
      <c r="J10" s="81">
        <v>11086.99952282294</v>
      </c>
      <c r="K10" s="81">
        <v>509.00009572809336</v>
      </c>
      <c r="L10" s="81">
        <v>3807</v>
      </c>
      <c r="M10" s="81">
        <v>1702.9996634318732</v>
      </c>
      <c r="N10" s="81">
        <v>72331.187859996993</v>
      </c>
      <c r="Q10" t="s">
        <v>80</v>
      </c>
      <c r="R10" s="81">
        <v>121630.75</v>
      </c>
      <c r="S10" s="81"/>
      <c r="T10" s="81">
        <v>89459.43</v>
      </c>
      <c r="U10" s="81">
        <v>19899.5</v>
      </c>
      <c r="V10" s="81">
        <v>83134</v>
      </c>
      <c r="W10" s="81">
        <v>46227.5</v>
      </c>
      <c r="X10" s="81">
        <v>78585.25</v>
      </c>
      <c r="Y10" s="81">
        <v>12449.1</v>
      </c>
      <c r="Z10" s="81">
        <v>86813.55</v>
      </c>
      <c r="AA10" s="81">
        <v>3739.28</v>
      </c>
      <c r="AB10" s="81">
        <v>28552.5</v>
      </c>
      <c r="AC10" s="81">
        <v>12143.75</v>
      </c>
      <c r="AD10" s="81">
        <v>582634.61</v>
      </c>
    </row>
    <row r="11" spans="1:30" x14ac:dyDescent="0.25">
      <c r="A11" t="s">
        <v>81</v>
      </c>
      <c r="B11" s="81">
        <v>6553.0000000000009</v>
      </c>
      <c r="C11" s="81">
        <v>1634.9996239253448</v>
      </c>
      <c r="D11" s="81">
        <v>2727</v>
      </c>
      <c r="E11" s="81">
        <v>585</v>
      </c>
      <c r="F11" s="81">
        <v>3739</v>
      </c>
      <c r="G11" s="81">
        <v>3400.9996826512843</v>
      </c>
      <c r="H11" s="81">
        <v>1508</v>
      </c>
      <c r="I11" s="81">
        <v>8596.500351120314</v>
      </c>
      <c r="J11" s="81">
        <v>10499.999994908982</v>
      </c>
      <c r="K11" s="81">
        <v>13039</v>
      </c>
      <c r="L11" s="81">
        <v>5065</v>
      </c>
      <c r="M11" s="81">
        <v>2804</v>
      </c>
      <c r="N11" s="81">
        <v>60152.499652605926</v>
      </c>
      <c r="Q11" t="s">
        <v>81</v>
      </c>
      <c r="R11" s="81">
        <v>48164.55</v>
      </c>
      <c r="S11" s="81">
        <v>11370</v>
      </c>
      <c r="T11" s="81">
        <v>20452.5</v>
      </c>
      <c r="U11" s="81">
        <v>4193.25</v>
      </c>
      <c r="V11" s="81">
        <v>28042.5</v>
      </c>
      <c r="W11" s="81">
        <v>25360.5</v>
      </c>
      <c r="X11" s="81">
        <v>11298</v>
      </c>
      <c r="Y11" s="81">
        <v>63947.020000000004</v>
      </c>
      <c r="Z11" s="81">
        <v>80038.95</v>
      </c>
      <c r="AA11" s="81">
        <v>99451.55</v>
      </c>
      <c r="AB11" s="81">
        <v>37330.5</v>
      </c>
      <c r="AC11" s="81">
        <v>20329</v>
      </c>
      <c r="AD11" s="81">
        <v>449978.32</v>
      </c>
    </row>
    <row r="12" spans="1:30" x14ac:dyDescent="0.25">
      <c r="A12" s="80" t="s">
        <v>76</v>
      </c>
      <c r="B12" s="81">
        <v>38825.001032146502</v>
      </c>
      <c r="C12" s="81">
        <v>14437.998154943638</v>
      </c>
      <c r="D12" s="81">
        <v>28896.400070921569</v>
      </c>
      <c r="E12" s="81">
        <v>16309.999924270891</v>
      </c>
      <c r="F12" s="81">
        <v>21434.999724024685</v>
      </c>
      <c r="G12" s="81">
        <v>18420.999956205393</v>
      </c>
      <c r="H12" s="81">
        <v>18652.999960555549</v>
      </c>
      <c r="I12" s="81">
        <v>28747.48809201338</v>
      </c>
      <c r="J12" s="81">
        <v>29986.199517731926</v>
      </c>
      <c r="K12" s="81">
        <v>36120.499999664004</v>
      </c>
      <c r="L12" s="81">
        <v>31975.00023006319</v>
      </c>
      <c r="M12" s="81">
        <v>21986.401481840105</v>
      </c>
      <c r="N12" s="81">
        <v>305793.9881443808</v>
      </c>
      <c r="Q12" s="80" t="s">
        <v>76</v>
      </c>
      <c r="R12" s="81">
        <v>309467.65000000002</v>
      </c>
      <c r="S12" s="81">
        <v>91940.25</v>
      </c>
      <c r="T12" s="81">
        <v>226788.68</v>
      </c>
      <c r="U12" s="81">
        <v>123254.05</v>
      </c>
      <c r="V12" s="81">
        <v>160588.9</v>
      </c>
      <c r="W12" s="81">
        <v>131505</v>
      </c>
      <c r="X12" s="81">
        <v>137802</v>
      </c>
      <c r="Y12" s="81">
        <v>228627.62</v>
      </c>
      <c r="Z12" s="81">
        <v>223234.8</v>
      </c>
      <c r="AA12" s="81">
        <v>267161.53000000003</v>
      </c>
      <c r="AB12" s="81">
        <v>248130.25</v>
      </c>
      <c r="AC12" s="81">
        <v>146723.65</v>
      </c>
      <c r="AD12" s="81">
        <v>2295224.38</v>
      </c>
    </row>
    <row r="16" spans="1:30" x14ac:dyDescent="0.25">
      <c r="Q16" s="79" t="s">
        <v>2</v>
      </c>
      <c r="R16" t="s">
        <v>5</v>
      </c>
    </row>
    <row r="17" spans="1:23" x14ac:dyDescent="0.25">
      <c r="A17" s="79" t="s">
        <v>2</v>
      </c>
      <c r="B17" t="s">
        <v>5</v>
      </c>
    </row>
    <row r="18" spans="1:23" x14ac:dyDescent="0.25">
      <c r="Q18" s="79" t="s">
        <v>98</v>
      </c>
      <c r="R18" s="79" t="s">
        <v>95</v>
      </c>
    </row>
    <row r="19" spans="1:23" x14ac:dyDescent="0.25">
      <c r="A19" s="79" t="s">
        <v>93</v>
      </c>
      <c r="B19" s="79" t="s">
        <v>95</v>
      </c>
      <c r="Q19" s="79" t="s">
        <v>96</v>
      </c>
      <c r="R19" t="s">
        <v>77</v>
      </c>
      <c r="S19" t="s">
        <v>78</v>
      </c>
      <c r="T19" t="s">
        <v>79</v>
      </c>
      <c r="U19" t="s">
        <v>80</v>
      </c>
      <c r="V19" t="s">
        <v>81</v>
      </c>
      <c r="W19" t="s">
        <v>76</v>
      </c>
    </row>
    <row r="20" spans="1:23" x14ac:dyDescent="0.25">
      <c r="A20" s="79" t="s">
        <v>96</v>
      </c>
      <c r="B20" t="s">
        <v>77</v>
      </c>
      <c r="C20" t="s">
        <v>78</v>
      </c>
      <c r="D20" t="s">
        <v>79</v>
      </c>
      <c r="E20" t="s">
        <v>80</v>
      </c>
      <c r="F20" t="s">
        <v>81</v>
      </c>
      <c r="G20" t="s">
        <v>76</v>
      </c>
      <c r="Q20" s="80" t="s">
        <v>44</v>
      </c>
      <c r="R20" s="81">
        <v>190337.95</v>
      </c>
      <c r="S20" s="81">
        <v>140655.15000000002</v>
      </c>
      <c r="T20" s="81">
        <v>264592.25</v>
      </c>
      <c r="U20" s="81">
        <v>269307.93</v>
      </c>
      <c r="V20" s="81">
        <v>117061</v>
      </c>
      <c r="W20" s="81">
        <v>981954.28</v>
      </c>
    </row>
    <row r="21" spans="1:23" x14ac:dyDescent="0.25">
      <c r="A21" s="80" t="s">
        <v>44</v>
      </c>
      <c r="B21" s="81">
        <v>32181</v>
      </c>
      <c r="C21" s="81">
        <v>18999.2</v>
      </c>
      <c r="D21" s="81">
        <v>29499.200000000001</v>
      </c>
      <c r="E21" s="81">
        <v>33225</v>
      </c>
      <c r="F21" s="81">
        <v>15674</v>
      </c>
      <c r="G21" s="81">
        <v>129578.4</v>
      </c>
      <c r="Q21" s="80" t="s">
        <v>51</v>
      </c>
      <c r="R21" s="81">
        <v>28060</v>
      </c>
      <c r="S21" s="81">
        <v>69159.75</v>
      </c>
      <c r="T21" s="81">
        <v>164278.85</v>
      </c>
      <c r="U21" s="81">
        <v>134069.25</v>
      </c>
      <c r="V21" s="81">
        <v>176715</v>
      </c>
      <c r="W21" s="81">
        <v>572282.85</v>
      </c>
    </row>
    <row r="22" spans="1:23" x14ac:dyDescent="0.25">
      <c r="A22" s="80" t="s">
        <v>51</v>
      </c>
      <c r="B22" s="81">
        <v>4880</v>
      </c>
      <c r="C22" s="81">
        <v>9895</v>
      </c>
      <c r="D22" s="81">
        <v>18816.599999999999</v>
      </c>
      <c r="E22" s="81">
        <v>16872.999663431874</v>
      </c>
      <c r="F22" s="81">
        <v>23355.5</v>
      </c>
      <c r="G22" s="81">
        <v>73820.099663431873</v>
      </c>
      <c r="Q22" s="80" t="s">
        <v>45</v>
      </c>
      <c r="R22" s="81">
        <v>70808.5</v>
      </c>
      <c r="S22" s="81">
        <v>30076</v>
      </c>
      <c r="T22" s="81">
        <v>53719.25</v>
      </c>
      <c r="U22" s="81">
        <v>46190.25</v>
      </c>
      <c r="V22" s="81">
        <v>53837.55</v>
      </c>
      <c r="W22" s="81">
        <v>254631.55</v>
      </c>
    </row>
    <row r="23" spans="1:23" x14ac:dyDescent="0.25">
      <c r="A23" s="80" t="s">
        <v>45</v>
      </c>
      <c r="B23" s="81">
        <v>12417.999855339776</v>
      </c>
      <c r="C23" s="81">
        <v>4188.8005574327244</v>
      </c>
      <c r="D23" s="81">
        <v>6308.9991030453039</v>
      </c>
      <c r="E23" s="81">
        <v>5522.0011044415505</v>
      </c>
      <c r="F23" s="81">
        <v>7328.9996826512852</v>
      </c>
      <c r="G23" s="81">
        <v>35766.80030291064</v>
      </c>
      <c r="Q23" s="80" t="s">
        <v>49</v>
      </c>
      <c r="R23" s="81">
        <v>31420</v>
      </c>
      <c r="S23" s="81">
        <v>14680.5</v>
      </c>
      <c r="T23" s="81"/>
      <c r="U23" s="81">
        <v>36136</v>
      </c>
      <c r="V23" s="81">
        <v>49683.270000000004</v>
      </c>
      <c r="W23" s="81">
        <v>131919.77000000002</v>
      </c>
    </row>
    <row r="24" spans="1:23" x14ac:dyDescent="0.25">
      <c r="A24" s="80" t="s">
        <v>49</v>
      </c>
      <c r="B24" s="81">
        <v>5394</v>
      </c>
      <c r="C24" s="81">
        <v>1856.0005057049843</v>
      </c>
      <c r="D24" s="81"/>
      <c r="E24" s="81">
        <v>4517</v>
      </c>
      <c r="F24" s="81">
        <v>6524.000351120314</v>
      </c>
      <c r="G24" s="81">
        <v>18291.000856825296</v>
      </c>
      <c r="Q24" s="80" t="s">
        <v>50</v>
      </c>
      <c r="R24" s="81">
        <v>15792.5</v>
      </c>
      <c r="S24" s="81">
        <v>9935.25</v>
      </c>
      <c r="T24" s="81">
        <v>19907.099999999999</v>
      </c>
      <c r="U24" s="81">
        <v>53041</v>
      </c>
      <c r="V24" s="81"/>
      <c r="W24" s="81">
        <v>98675.85</v>
      </c>
    </row>
    <row r="25" spans="1:23" x14ac:dyDescent="0.25">
      <c r="A25" s="80" t="s">
        <v>50</v>
      </c>
      <c r="B25" s="81">
        <v>2700</v>
      </c>
      <c r="C25" s="81">
        <v>1412</v>
      </c>
      <c r="D25" s="81">
        <v>2377.6</v>
      </c>
      <c r="E25" s="81">
        <v>6688</v>
      </c>
      <c r="F25" s="81"/>
      <c r="G25" s="81">
        <v>13177.6</v>
      </c>
      <c r="Q25" s="80" t="s">
        <v>48</v>
      </c>
      <c r="R25" s="81">
        <v>29845.25</v>
      </c>
      <c r="S25" s="81">
        <v>31727.200000000001</v>
      </c>
      <c r="T25" s="81">
        <v>2966.5</v>
      </c>
      <c r="U25" s="81"/>
      <c r="V25" s="81"/>
      <c r="W25" s="81">
        <v>64538.95</v>
      </c>
    </row>
    <row r="26" spans="1:23" x14ac:dyDescent="0.25">
      <c r="A26" s="80" t="s">
        <v>48</v>
      </c>
      <c r="B26" s="81">
        <v>4883</v>
      </c>
      <c r="C26" s="81">
        <v>4096</v>
      </c>
      <c r="D26" s="81">
        <v>349</v>
      </c>
      <c r="E26" s="81"/>
      <c r="F26" s="81"/>
      <c r="G26" s="81">
        <v>9328</v>
      </c>
      <c r="Q26" s="80" t="s">
        <v>64</v>
      </c>
      <c r="R26" s="81"/>
      <c r="S26" s="81"/>
      <c r="T26" s="81">
        <v>16243.5</v>
      </c>
      <c r="U26" s="81">
        <v>23034.799999999999</v>
      </c>
      <c r="V26" s="81">
        <v>8962.5</v>
      </c>
      <c r="W26" s="81">
        <v>48240.800000000003</v>
      </c>
    </row>
    <row r="27" spans="1:23" x14ac:dyDescent="0.25">
      <c r="A27" s="80" t="s">
        <v>64</v>
      </c>
      <c r="B27" s="81"/>
      <c r="C27" s="81"/>
      <c r="D27" s="81">
        <v>1897.9998177191051</v>
      </c>
      <c r="E27" s="81">
        <v>2803.9995228229404</v>
      </c>
      <c r="F27" s="81">
        <v>1195</v>
      </c>
      <c r="G27" s="81">
        <v>5896.9993405420455</v>
      </c>
      <c r="Q27" s="80" t="s">
        <v>63</v>
      </c>
      <c r="R27" s="81"/>
      <c r="S27" s="81"/>
      <c r="T27" s="81">
        <v>10138.5</v>
      </c>
      <c r="U27" s="81">
        <v>10309.6</v>
      </c>
      <c r="V27" s="81">
        <v>19434</v>
      </c>
      <c r="W27" s="81">
        <v>39882.1</v>
      </c>
    </row>
    <row r="28" spans="1:23" x14ac:dyDescent="0.25">
      <c r="A28" s="80" t="s">
        <v>52</v>
      </c>
      <c r="B28" s="81">
        <v>1006.9998596972579</v>
      </c>
      <c r="C28" s="81">
        <v>1498</v>
      </c>
      <c r="D28" s="81">
        <v>525.00006644861674</v>
      </c>
      <c r="E28" s="81">
        <v>925.99969763461604</v>
      </c>
      <c r="F28" s="81">
        <v>1468</v>
      </c>
      <c r="G28" s="81">
        <v>5423.9996237804899</v>
      </c>
      <c r="Q28" s="80" t="s">
        <v>52</v>
      </c>
      <c r="R28" s="81">
        <v>5653</v>
      </c>
      <c r="S28" s="81">
        <v>10287.75</v>
      </c>
      <c r="T28" s="81">
        <v>4518</v>
      </c>
      <c r="U28" s="81">
        <v>7013</v>
      </c>
      <c r="V28" s="81">
        <v>10643</v>
      </c>
      <c r="W28" s="81">
        <v>38114.75</v>
      </c>
    </row>
    <row r="29" spans="1:23" x14ac:dyDescent="0.25">
      <c r="A29" s="80" t="s">
        <v>63</v>
      </c>
      <c r="B29" s="81"/>
      <c r="C29" s="81"/>
      <c r="D29" s="81">
        <v>1257.0003831070851</v>
      </c>
      <c r="E29" s="81">
        <v>1319.0007446054487</v>
      </c>
      <c r="F29" s="81">
        <v>2786.9996239253451</v>
      </c>
      <c r="G29" s="81">
        <v>5363.0007516378791</v>
      </c>
      <c r="Q29" s="80" t="s">
        <v>66</v>
      </c>
      <c r="R29" s="81"/>
      <c r="S29" s="81"/>
      <c r="T29" s="81">
        <v>4833.1000000000004</v>
      </c>
      <c r="U29" s="81"/>
      <c r="V29" s="81">
        <v>10977.75</v>
      </c>
      <c r="W29" s="81">
        <v>15810.85</v>
      </c>
    </row>
    <row r="30" spans="1:23" x14ac:dyDescent="0.25">
      <c r="A30" s="80" t="s">
        <v>66</v>
      </c>
      <c r="B30" s="81"/>
      <c r="C30" s="81"/>
      <c r="D30" s="81">
        <v>569.00030845229935</v>
      </c>
      <c r="E30" s="81"/>
      <c r="F30" s="81">
        <v>1439</v>
      </c>
      <c r="G30" s="81">
        <v>2008.0003084522994</v>
      </c>
      <c r="Q30" s="80" t="s">
        <v>53</v>
      </c>
      <c r="R30" s="81">
        <v>907.5</v>
      </c>
      <c r="S30" s="81">
        <v>5318.75</v>
      </c>
      <c r="T30" s="81">
        <v>6142.5</v>
      </c>
      <c r="U30" s="81"/>
      <c r="V30" s="81"/>
      <c r="W30" s="81">
        <v>12368.75</v>
      </c>
    </row>
    <row r="31" spans="1:23" x14ac:dyDescent="0.25">
      <c r="A31" s="80" t="s">
        <v>53</v>
      </c>
      <c r="B31" s="81">
        <v>165</v>
      </c>
      <c r="C31" s="81">
        <v>851</v>
      </c>
      <c r="D31" s="81">
        <v>819</v>
      </c>
      <c r="E31" s="81"/>
      <c r="F31" s="81"/>
      <c r="G31" s="81">
        <v>1835</v>
      </c>
      <c r="Q31" s="80" t="s">
        <v>57</v>
      </c>
      <c r="R31" s="81"/>
      <c r="S31" s="81">
        <v>12012.5</v>
      </c>
      <c r="T31" s="81"/>
      <c r="U31" s="81"/>
      <c r="V31" s="81"/>
      <c r="W31" s="81">
        <v>12012.5</v>
      </c>
    </row>
    <row r="32" spans="1:23" x14ac:dyDescent="0.25">
      <c r="A32" s="80" t="s">
        <v>57</v>
      </c>
      <c r="B32" s="81"/>
      <c r="C32" s="81">
        <v>1560.0001038917865</v>
      </c>
      <c r="D32" s="81"/>
      <c r="E32" s="81"/>
      <c r="F32" s="81"/>
      <c r="G32" s="81">
        <v>1560.0001038917865</v>
      </c>
      <c r="Q32" s="80" t="s">
        <v>46</v>
      </c>
      <c r="R32" s="81">
        <v>7760.5</v>
      </c>
      <c r="S32" s="81"/>
      <c r="T32" s="81"/>
      <c r="U32" s="81"/>
      <c r="V32" s="81"/>
      <c r="W32" s="81">
        <v>7760.5</v>
      </c>
    </row>
    <row r="33" spans="1:23" x14ac:dyDescent="0.25">
      <c r="A33" s="80" t="s">
        <v>46</v>
      </c>
      <c r="B33" s="81">
        <v>1411</v>
      </c>
      <c r="C33" s="81"/>
      <c r="D33" s="81"/>
      <c r="E33" s="81"/>
      <c r="F33" s="81"/>
      <c r="G33" s="81">
        <v>1411</v>
      </c>
      <c r="Q33" s="80" t="s">
        <v>65</v>
      </c>
      <c r="R33" s="81"/>
      <c r="S33" s="81"/>
      <c r="T33" s="81">
        <v>1578.45</v>
      </c>
      <c r="U33" s="81">
        <v>2465.2800000000002</v>
      </c>
      <c r="V33" s="81">
        <v>735</v>
      </c>
      <c r="W33" s="81">
        <v>4778.7300000000005</v>
      </c>
    </row>
    <row r="34" spans="1:23" x14ac:dyDescent="0.25">
      <c r="A34" s="80" t="s">
        <v>65</v>
      </c>
      <c r="B34" s="81"/>
      <c r="C34" s="81"/>
      <c r="D34" s="81">
        <v>185.70000000000002</v>
      </c>
      <c r="E34" s="81">
        <v>318.00011609233212</v>
      </c>
      <c r="F34" s="81">
        <v>105</v>
      </c>
      <c r="G34" s="81">
        <v>608.70011609233211</v>
      </c>
      <c r="Q34" s="80" t="s">
        <v>47</v>
      </c>
      <c r="R34" s="81">
        <v>979</v>
      </c>
      <c r="S34" s="81"/>
      <c r="T34" s="81">
        <v>3140</v>
      </c>
      <c r="U34" s="81">
        <v>70</v>
      </c>
      <c r="V34" s="81"/>
      <c r="W34" s="81">
        <v>4189</v>
      </c>
    </row>
    <row r="35" spans="1:23" x14ac:dyDescent="0.25">
      <c r="A35" s="80" t="s">
        <v>47</v>
      </c>
      <c r="B35" s="81">
        <v>178</v>
      </c>
      <c r="C35" s="81"/>
      <c r="D35" s="81">
        <v>361</v>
      </c>
      <c r="E35" s="81">
        <v>10</v>
      </c>
      <c r="F35" s="81"/>
      <c r="G35" s="81">
        <v>549</v>
      </c>
      <c r="Q35" s="80" t="s">
        <v>56</v>
      </c>
      <c r="R35" s="81"/>
      <c r="S35" s="81">
        <v>2626</v>
      </c>
      <c r="T35" s="81"/>
      <c r="U35" s="81"/>
      <c r="V35" s="81"/>
      <c r="W35" s="81">
        <v>2626</v>
      </c>
    </row>
    <row r="36" spans="1:23" x14ac:dyDescent="0.25">
      <c r="A36" s="80" t="s">
        <v>56</v>
      </c>
      <c r="B36" s="81"/>
      <c r="C36" s="81">
        <v>388.00007092156665</v>
      </c>
      <c r="D36" s="81"/>
      <c r="E36" s="81"/>
      <c r="F36" s="81"/>
      <c r="G36" s="81">
        <v>388.00007092156665</v>
      </c>
      <c r="Q36" s="80" t="s">
        <v>67</v>
      </c>
      <c r="R36" s="81"/>
      <c r="S36" s="81"/>
      <c r="T36" s="81"/>
      <c r="U36" s="81">
        <v>798.5</v>
      </c>
      <c r="V36" s="81">
        <v>1522.5</v>
      </c>
      <c r="W36" s="81">
        <v>2321</v>
      </c>
    </row>
    <row r="37" spans="1:23" x14ac:dyDescent="0.25">
      <c r="A37" s="80" t="s">
        <v>67</v>
      </c>
      <c r="B37" s="81"/>
      <c r="C37" s="81"/>
      <c r="D37" s="81"/>
      <c r="E37" s="81">
        <v>101.00000758923038</v>
      </c>
      <c r="F37" s="81">
        <v>203</v>
      </c>
      <c r="G37" s="81">
        <v>304.00000758923039</v>
      </c>
      <c r="Q37" s="80" t="s">
        <v>62</v>
      </c>
      <c r="R37" s="81"/>
      <c r="S37" s="81"/>
      <c r="T37" s="81">
        <v>543</v>
      </c>
      <c r="U37" s="81">
        <v>199</v>
      </c>
      <c r="V37" s="81">
        <v>293.93</v>
      </c>
      <c r="W37" s="81">
        <v>1035.93</v>
      </c>
    </row>
    <row r="38" spans="1:23" x14ac:dyDescent="0.25">
      <c r="A38" s="80" t="s">
        <v>62</v>
      </c>
      <c r="B38" s="81"/>
      <c r="C38" s="81"/>
      <c r="D38" s="81">
        <v>75.799996337173198</v>
      </c>
      <c r="E38" s="81">
        <v>28.1870033790184</v>
      </c>
      <c r="F38" s="81">
        <v>54</v>
      </c>
      <c r="G38" s="81">
        <v>157.9869997161916</v>
      </c>
      <c r="Q38" s="80" t="s">
        <v>59</v>
      </c>
      <c r="R38" s="81"/>
      <c r="S38" s="81">
        <v>689.75</v>
      </c>
      <c r="T38" s="81"/>
      <c r="U38" s="81"/>
      <c r="V38" s="81"/>
      <c r="W38" s="81">
        <v>689.75</v>
      </c>
    </row>
    <row r="39" spans="1:23" x14ac:dyDescent="0.25">
      <c r="A39" s="80" t="s">
        <v>54</v>
      </c>
      <c r="B39" s="81">
        <v>100</v>
      </c>
      <c r="C39" s="81"/>
      <c r="D39" s="81"/>
      <c r="E39" s="81"/>
      <c r="F39" s="81"/>
      <c r="G39" s="81">
        <v>100</v>
      </c>
      <c r="Q39" s="80" t="s">
        <v>54</v>
      </c>
      <c r="R39" s="81">
        <v>600</v>
      </c>
      <c r="S39" s="81"/>
      <c r="T39" s="81"/>
      <c r="U39" s="81"/>
      <c r="V39" s="81"/>
      <c r="W39" s="81">
        <v>600</v>
      </c>
    </row>
    <row r="40" spans="1:23" x14ac:dyDescent="0.25">
      <c r="A40" s="80" t="s">
        <v>59</v>
      </c>
      <c r="B40" s="81"/>
      <c r="C40" s="81">
        <v>89</v>
      </c>
      <c r="D40" s="81"/>
      <c r="E40" s="81"/>
      <c r="F40" s="81"/>
      <c r="G40" s="81">
        <v>89</v>
      </c>
      <c r="Q40" s="80" t="s">
        <v>55</v>
      </c>
      <c r="R40" s="81"/>
      <c r="S40" s="81">
        <v>319</v>
      </c>
      <c r="T40" s="81"/>
      <c r="U40" s="81"/>
      <c r="V40" s="81"/>
      <c r="W40" s="81">
        <v>319</v>
      </c>
    </row>
    <row r="41" spans="1:23" x14ac:dyDescent="0.25">
      <c r="A41" s="80" t="s">
        <v>55</v>
      </c>
      <c r="B41" s="81"/>
      <c r="C41" s="81">
        <v>58</v>
      </c>
      <c r="D41" s="81"/>
      <c r="E41" s="81"/>
      <c r="F41" s="81"/>
      <c r="G41" s="81">
        <v>58</v>
      </c>
      <c r="Q41" s="80" t="s">
        <v>43</v>
      </c>
      <c r="R41" s="81">
        <v>204.75</v>
      </c>
      <c r="S41" s="81">
        <v>38.75</v>
      </c>
      <c r="T41" s="81"/>
      <c r="U41" s="81"/>
      <c r="V41" s="81"/>
      <c r="W41" s="81">
        <v>243.5</v>
      </c>
    </row>
    <row r="42" spans="1:23" x14ac:dyDescent="0.25">
      <c r="A42" s="80" t="s">
        <v>43</v>
      </c>
      <c r="B42" s="81">
        <v>39</v>
      </c>
      <c r="C42" s="81">
        <v>5</v>
      </c>
      <c r="D42" s="81"/>
      <c r="E42" s="81"/>
      <c r="F42" s="81"/>
      <c r="G42" s="81">
        <v>44</v>
      </c>
      <c r="Q42" s="80" t="s">
        <v>68</v>
      </c>
      <c r="R42" s="81"/>
      <c r="S42" s="81"/>
      <c r="T42" s="81"/>
      <c r="U42" s="81"/>
      <c r="V42" s="81">
        <v>112.82</v>
      </c>
      <c r="W42" s="81">
        <v>112.82</v>
      </c>
    </row>
    <row r="43" spans="1:23" x14ac:dyDescent="0.25">
      <c r="A43" s="80" t="s">
        <v>68</v>
      </c>
      <c r="B43" s="81"/>
      <c r="C43" s="81"/>
      <c r="D43" s="81"/>
      <c r="E43" s="81"/>
      <c r="F43" s="81">
        <v>18.999994908981066</v>
      </c>
      <c r="G43" s="81">
        <v>18.999994908981066</v>
      </c>
      <c r="Q43" s="80" t="s">
        <v>61</v>
      </c>
      <c r="R43" s="81"/>
      <c r="S43" s="81"/>
      <c r="T43" s="81">
        <v>56</v>
      </c>
      <c r="U43" s="81"/>
      <c r="V43" s="81"/>
      <c r="W43" s="81">
        <v>56</v>
      </c>
    </row>
    <row r="44" spans="1:23" x14ac:dyDescent="0.25">
      <c r="A44" s="80" t="s">
        <v>61</v>
      </c>
      <c r="B44" s="81"/>
      <c r="C44" s="81"/>
      <c r="D44" s="81">
        <v>8</v>
      </c>
      <c r="E44" s="81"/>
      <c r="F44" s="81"/>
      <c r="G44" s="81">
        <v>8</v>
      </c>
      <c r="Q44" s="80" t="s">
        <v>58</v>
      </c>
      <c r="R44" s="81"/>
      <c r="S44" s="81">
        <v>38.15</v>
      </c>
      <c r="T44" s="81"/>
      <c r="U44" s="81"/>
      <c r="V44" s="81"/>
      <c r="W44" s="81">
        <v>38.15</v>
      </c>
    </row>
    <row r="45" spans="1:23" x14ac:dyDescent="0.25">
      <c r="A45" s="80" t="s">
        <v>58</v>
      </c>
      <c r="B45" s="81"/>
      <c r="C45" s="81">
        <v>5.4000036802122064</v>
      </c>
      <c r="D45" s="81"/>
      <c r="E45" s="81"/>
      <c r="F45" s="81"/>
      <c r="G45" s="81">
        <v>5.4000036802122064</v>
      </c>
      <c r="Q45" s="80" t="s">
        <v>60</v>
      </c>
      <c r="R45" s="81"/>
      <c r="S45" s="81"/>
      <c r="T45" s="81">
        <v>21</v>
      </c>
      <c r="U45" s="81"/>
      <c r="V45" s="81"/>
      <c r="W45" s="81">
        <v>21</v>
      </c>
    </row>
    <row r="46" spans="1:23" x14ac:dyDescent="0.25">
      <c r="A46" s="80" t="s">
        <v>60</v>
      </c>
      <c r="B46" s="81"/>
      <c r="C46" s="81"/>
      <c r="D46" s="81">
        <v>3</v>
      </c>
      <c r="E46" s="81"/>
      <c r="F46" s="81"/>
      <c r="G46" s="81">
        <v>3</v>
      </c>
      <c r="Q46" s="80" t="s">
        <v>76</v>
      </c>
      <c r="R46" s="81">
        <v>382368.95</v>
      </c>
      <c r="S46" s="81">
        <v>327564.5</v>
      </c>
      <c r="T46" s="81">
        <v>552677.99999999988</v>
      </c>
      <c r="U46" s="81">
        <v>582634.61</v>
      </c>
      <c r="V46" s="81">
        <v>449978.32</v>
      </c>
      <c r="W46" s="81">
        <v>2295224.3800000004</v>
      </c>
    </row>
    <row r="47" spans="1:23" x14ac:dyDescent="0.25">
      <c r="A47" s="80" t="s">
        <v>76</v>
      </c>
      <c r="B47" s="81">
        <v>65355.999715037033</v>
      </c>
      <c r="C47" s="81">
        <v>44901.401241631276</v>
      </c>
      <c r="D47" s="81">
        <v>63052.899675109584</v>
      </c>
      <c r="E47" s="81">
        <v>72331.187859997022</v>
      </c>
      <c r="F47" s="81">
        <v>60152.499652605933</v>
      </c>
      <c r="G47" s="81">
        <v>305793.9881443808</v>
      </c>
    </row>
    <row r="53" spans="1:18" x14ac:dyDescent="0.25">
      <c r="A53" s="79" t="s">
        <v>102</v>
      </c>
      <c r="B53" t="s">
        <v>103</v>
      </c>
      <c r="Q53" s="79" t="s">
        <v>102</v>
      </c>
      <c r="R53" t="s">
        <v>103</v>
      </c>
    </row>
    <row r="54" spans="1:18" x14ac:dyDescent="0.25">
      <c r="A54" s="79" t="s">
        <v>2</v>
      </c>
      <c r="B54" t="s">
        <v>5</v>
      </c>
      <c r="Q54" s="79" t="s">
        <v>2</v>
      </c>
      <c r="R54" t="s">
        <v>5</v>
      </c>
    </row>
    <row r="56" spans="1:18" x14ac:dyDescent="0.25">
      <c r="A56" s="79" t="s">
        <v>97</v>
      </c>
      <c r="B56" s="83" t="s">
        <v>100</v>
      </c>
      <c r="Q56" s="79" t="s">
        <v>97</v>
      </c>
      <c r="R56" s="83" t="s">
        <v>101</v>
      </c>
    </row>
    <row r="57" spans="1:18" x14ac:dyDescent="0.25">
      <c r="A57" s="90" t="s">
        <v>82</v>
      </c>
      <c r="B57" s="84">
        <v>0.12696456613730173</v>
      </c>
      <c r="Q57" s="90" t="s">
        <v>82</v>
      </c>
      <c r="R57" s="91">
        <v>0.13483110962772188</v>
      </c>
    </row>
    <row r="58" spans="1:18" x14ac:dyDescent="0.25">
      <c r="A58" s="90" t="s">
        <v>83</v>
      </c>
      <c r="B58" s="84">
        <v>4.721478745398594E-2</v>
      </c>
      <c r="Q58" s="90" t="s">
        <v>83</v>
      </c>
      <c r="R58" s="91">
        <v>4.0057194756706091E-2</v>
      </c>
    </row>
    <row r="59" spans="1:18" x14ac:dyDescent="0.25">
      <c r="A59" s="90" t="s">
        <v>84</v>
      </c>
      <c r="B59" s="84">
        <v>9.4496298786875141E-2</v>
      </c>
      <c r="Q59" s="90" t="s">
        <v>84</v>
      </c>
      <c r="R59" s="91">
        <v>9.8808936492736255E-2</v>
      </c>
    </row>
    <row r="60" spans="1:18" x14ac:dyDescent="0.25">
      <c r="A60" s="90" t="s">
        <v>85</v>
      </c>
      <c r="B60" s="84">
        <v>5.3336561726550734E-2</v>
      </c>
      <c r="Q60" s="90" t="s">
        <v>85</v>
      </c>
      <c r="R60" s="91">
        <v>5.3700218189561048E-2</v>
      </c>
    </row>
    <row r="61" spans="1:18" x14ac:dyDescent="0.25">
      <c r="A61" s="90" t="s">
        <v>10</v>
      </c>
      <c r="B61" s="84">
        <v>7.0096210373842061E-2</v>
      </c>
      <c r="Q61" s="90" t="s">
        <v>10</v>
      </c>
      <c r="R61" s="91">
        <v>6.9966536343605751E-2</v>
      </c>
    </row>
    <row r="62" spans="1:18" x14ac:dyDescent="0.25">
      <c r="A62" s="90" t="s">
        <v>86</v>
      </c>
      <c r="B62" s="84">
        <v>6.0239902255723565E-2</v>
      </c>
      <c r="Q62" s="90" t="s">
        <v>86</v>
      </c>
      <c r="R62" s="91">
        <v>5.7295051911220973E-2</v>
      </c>
    </row>
    <row r="63" spans="1:18" x14ac:dyDescent="0.25">
      <c r="A63" s="90" t="s">
        <v>87</v>
      </c>
      <c r="B63" s="84">
        <v>6.0998582979821442E-2</v>
      </c>
      <c r="Q63" s="90" t="s">
        <v>87</v>
      </c>
      <c r="R63" s="91">
        <v>6.0038574529257996E-2</v>
      </c>
    </row>
    <row r="64" spans="1:18" x14ac:dyDescent="0.25">
      <c r="A64" s="90" t="s">
        <v>88</v>
      </c>
      <c r="B64" s="84">
        <v>9.4009330485726336E-2</v>
      </c>
      <c r="Q64" s="90" t="s">
        <v>88</v>
      </c>
      <c r="R64" s="91">
        <v>9.9610139205649234E-2</v>
      </c>
    </row>
    <row r="65" spans="1:18" x14ac:dyDescent="0.25">
      <c r="A65" s="90" t="s">
        <v>89</v>
      </c>
      <c r="B65" s="84">
        <v>9.806013420896266E-2</v>
      </c>
      <c r="Q65" s="90" t="s">
        <v>89</v>
      </c>
      <c r="R65" s="91">
        <v>9.7260556286004593E-2</v>
      </c>
    </row>
    <row r="66" spans="1:18" x14ac:dyDescent="0.25">
      <c r="A66" s="90" t="s">
        <v>90</v>
      </c>
      <c r="B66" s="84">
        <v>0.1181203731925877</v>
      </c>
      <c r="Q66" s="90" t="s">
        <v>90</v>
      </c>
      <c r="R66" s="91">
        <v>0.11639887251459048</v>
      </c>
    </row>
    <row r="67" spans="1:18" x14ac:dyDescent="0.25">
      <c r="A67" s="90" t="s">
        <v>91</v>
      </c>
      <c r="B67" s="84">
        <v>0.10456386152028002</v>
      </c>
      <c r="Q67" s="90" t="s">
        <v>91</v>
      </c>
      <c r="R67" s="91">
        <v>0.10810718645294276</v>
      </c>
    </row>
    <row r="68" spans="1:18" x14ac:dyDescent="0.25">
      <c r="A68" s="90" t="s">
        <v>92</v>
      </c>
      <c r="B68" s="84">
        <v>7.1899390878342614E-2</v>
      </c>
      <c r="Q68" s="90" t="s">
        <v>92</v>
      </c>
      <c r="R68" s="91">
        <v>6.3925623690002792E-2</v>
      </c>
    </row>
    <row r="69" spans="1:18" x14ac:dyDescent="0.25">
      <c r="A69" s="80" t="s">
        <v>76</v>
      </c>
      <c r="B69" s="84">
        <v>1</v>
      </c>
      <c r="Q69" s="80" t="s">
        <v>76</v>
      </c>
      <c r="R69" s="9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206D9-7EE4-4C83-A4FE-C4F4BF8AF5F3}">
  <dimension ref="A1:V225"/>
  <sheetViews>
    <sheetView zoomScaleNormal="100" workbookViewId="0">
      <pane ySplit="1" topLeftCell="A4" activePane="bottomLeft" state="frozen"/>
      <selection activeCell="B1" sqref="B1"/>
      <selection pane="bottomLeft" activeCell="N6" sqref="N6"/>
    </sheetView>
  </sheetViews>
  <sheetFormatPr defaultColWidth="9.140625" defaultRowHeight="15" x14ac:dyDescent="0.25"/>
  <cols>
    <col min="1" max="1" width="11" style="3" bestFit="1" customWidth="1"/>
    <col min="2" max="2" width="24.28515625" style="21" bestFit="1" customWidth="1"/>
    <col min="3" max="3" width="12.42578125" style="4" bestFit="1" customWidth="1"/>
    <col min="4" max="4" width="10.42578125" style="2" bestFit="1" customWidth="1"/>
    <col min="5" max="5" width="17" style="20" bestFit="1" customWidth="1"/>
    <col min="6" max="6" width="12.7109375" style="20" bestFit="1" customWidth="1"/>
    <col min="7" max="7" width="9.140625" style="2"/>
    <col min="8" max="8" width="34.28515625" style="2" bestFit="1" customWidth="1"/>
    <col min="9" max="16" width="12.7109375" style="2" customWidth="1"/>
    <col min="17" max="17" width="15.140625" style="2" customWidth="1"/>
    <col min="18" max="18" width="12.7109375" style="2" customWidth="1"/>
    <col min="19" max="20" width="14.42578125" style="2" customWidth="1"/>
    <col min="21" max="21" width="12.7109375" style="2" customWidth="1"/>
    <col min="22" max="22" width="9.140625" style="2" customWidth="1"/>
    <col min="23" max="16384" width="9.140625" style="2"/>
  </cols>
  <sheetData>
    <row r="1" spans="1:22" ht="22.5" thickTop="1" thickBot="1" x14ac:dyDescent="0.3">
      <c r="A1" s="86"/>
      <c r="B1" s="86"/>
      <c r="C1" s="86"/>
      <c r="D1" s="86"/>
      <c r="E1" s="86"/>
      <c r="F1" s="86"/>
      <c r="H1" s="8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9"/>
    </row>
    <row r="2" spans="1:22" ht="20.25" thickTop="1" thickBot="1" x14ac:dyDescent="0.3">
      <c r="A2" s="7" t="s">
        <v>0</v>
      </c>
      <c r="B2" s="7" t="s">
        <v>18</v>
      </c>
      <c r="C2" s="7" t="s">
        <v>1</v>
      </c>
      <c r="D2" s="7" t="s">
        <v>2</v>
      </c>
      <c r="E2" s="7" t="s">
        <v>3</v>
      </c>
      <c r="F2" s="7" t="s">
        <v>4</v>
      </c>
      <c r="H2" s="27" t="s">
        <v>25</v>
      </c>
      <c r="I2" s="28" t="s">
        <v>6</v>
      </c>
      <c r="J2" s="29" t="s">
        <v>7</v>
      </c>
      <c r="K2" s="29" t="s">
        <v>8</v>
      </c>
      <c r="L2" s="29" t="s">
        <v>9</v>
      </c>
      <c r="M2" s="29" t="s">
        <v>10</v>
      </c>
      <c r="N2" s="29" t="s">
        <v>11</v>
      </c>
      <c r="O2" s="29" t="s">
        <v>12</v>
      </c>
      <c r="P2" s="29" t="s">
        <v>13</v>
      </c>
      <c r="Q2" s="29" t="s">
        <v>14</v>
      </c>
      <c r="R2" s="29" t="s">
        <v>15</v>
      </c>
      <c r="S2" s="29" t="s">
        <v>16</v>
      </c>
      <c r="T2" s="30" t="s">
        <v>17</v>
      </c>
      <c r="U2" s="31" t="s">
        <v>19</v>
      </c>
    </row>
    <row r="3" spans="1:22" ht="19.5" thickTop="1" x14ac:dyDescent="0.25">
      <c r="A3" s="6">
        <v>43867</v>
      </c>
      <c r="B3" t="s">
        <v>43</v>
      </c>
      <c r="C3">
        <f t="shared" ref="C3:C66" si="0">F3/E3</f>
        <v>39</v>
      </c>
      <c r="D3" t="s">
        <v>5</v>
      </c>
      <c r="E3">
        <v>5.25</v>
      </c>
      <c r="F3">
        <v>204.75</v>
      </c>
      <c r="H3" s="22">
        <v>2020</v>
      </c>
      <c r="I3" s="10">
        <f>IF($D$3="lb",SUMIFS($C$3:$C$1000,$B$3:$B$1000,IF($I$1="","&lt;&gt;"&amp;$I$1,$I$1),$A$3:$A$1000,"&gt;="&amp;I$2&amp;$H3,$A$3:$A$1000,"&lt;="&amp;EOMONTH(I$2&amp;$H3,0)),SUMIFS($C$3:$C$1000,$B$3:$B$1000,IF($I$1="","&lt;&gt;"&amp;$I$1,$I$1),$A$3:$A$1000,"&gt;="&amp;I$2&amp;$H3,$A$3:$A$1000,"&lt;="&amp;EOMONTH(I$2&amp;$H3,0))/2.20462)</f>
        <v>0</v>
      </c>
      <c r="J3" s="11">
        <f>IF($D$3="lb",SUMIFS($C$3:$C$1000,$B$3:$B$1000,IF($I$1="","&lt;&gt;"&amp;$I$1,$I$1),$A$3:$A$1000,"&gt;="&amp;J$2&amp;$H3,$A$3:$A$1000,"&lt;="&amp;EOMONTH(J$2&amp;$H3,0)),SUMIFS($C$3:$C$1000,$B$3:$B$1000,IF($I$1="","&lt;&gt;"&amp;$I$1,$I$1),$A$3:$A$1000,"&gt;="&amp;J$2&amp;$H3,$A$3:$A$1000,"&lt;="&amp;EOMONTH(J$2&amp;$H3,0))/2.20462)</f>
        <v>7839.9983165870717</v>
      </c>
      <c r="K3" s="11">
        <f t="shared" ref="K3:K8" si="1">IF($D$3="lb",SUMIFS($C$3:$C$1000,$B$3:$B$1000,IF($I$1="","&lt;&gt;"&amp;$I$1,$I$1),$A$3:$A$1000,"&gt;="&amp;K$2&amp;$H3,$A$3:$A$1000,"&lt;="&amp;EOMONTH(K$2&amp;$H3,0)),SUMIFS($C$3:$C$1000,$B$3:$B$1000,IF($I$1="","&lt;&gt;"&amp;$I$1,$I$1),$A$3:$A$1000,"&gt;="&amp;K$2&amp;$H3,$A$3:$A$1000,"&lt;="&amp;EOMONTH(K$2&amp;$H3,0))/2.20462)</f>
        <v>2010</v>
      </c>
      <c r="L3" s="11">
        <f t="shared" ref="L3:L8" si="2">IF($D$3="lb",SUMIFS($C$3:$C$1000,$B$3:$B$1000,IF($I$1="","&lt;&gt;"&amp;$I$1,$I$1),$A$3:$A$1000,"&gt;="&amp;L$2&amp;$H3,$A$3:$A$1000,"&lt;="&amp;EOMONTH(L$2&amp;$H3,0)),SUMIFS($C$3:$C$1000,$B$3:$B$1000,IF($I$1="","&lt;&gt;"&amp;$I$1,$I$1),$A$3:$A$1000,"&gt;="&amp;L$2&amp;$H3,$A$3:$A$1000,"&lt;="&amp;EOMONTH(L$2&amp;$H3,0))/2.20462)</f>
        <v>1974.0000000000002</v>
      </c>
      <c r="M3" s="11">
        <f t="shared" ref="M3:M8" si="3">IF($D$3="lb",SUMIFS($C$3:$C$1000,$B$3:$B$1000,IF($I$1="","&lt;&gt;"&amp;$I$1,$I$1),$A$3:$A$1000,"&gt;="&amp;M$2&amp;$H3,$A$3:$A$1000,"&lt;="&amp;EOMONTH(M$2&amp;$H3,0)),SUMIFS($C$3:$C$1000,$B$3:$B$1000,IF($I$1="","&lt;&gt;"&amp;$I$1,$I$1),$A$3:$A$1000,"&gt;="&amp;M$2&amp;$H3,$A$3:$A$1000,"&lt;="&amp;EOMONTH(M$2&amp;$H3,0))/2.20462)</f>
        <v>4588.9997240246857</v>
      </c>
      <c r="N3" s="11">
        <f t="shared" ref="N3:N8" si="4">IF($D$3="lb",SUMIFS($C$3:$C$1000,$B$3:$B$1000,IF($I$1="","&lt;&gt;"&amp;$I$1,$I$1),$A$3:$A$1000,"&gt;="&amp;N$2&amp;$H3,$A$3:$A$1000,"&lt;="&amp;EOMONTH(N$2&amp;$H3,0)),SUMIFS($C$3:$C$1000,$B$3:$B$1000,IF($I$1="","&lt;&gt;"&amp;$I$1,$I$1),$A$3:$A$1000,"&gt;="&amp;N$2&amp;$H3,$A$3:$A$1000,"&lt;="&amp;EOMONTH(N$2&amp;$H3,0))/2.20462)</f>
        <v>5696</v>
      </c>
      <c r="O3" s="11">
        <f t="shared" ref="O3:O8" si="5">IF($D$3="lb",SUMIFS($C$3:$C$1000,$B$3:$B$1000,IF($I$1="","&lt;&gt;"&amp;$I$1,$I$1),$A$3:$A$1000,"&gt;="&amp;O$2&amp;$H3,$A$3:$A$1000,"&lt;="&amp;EOMONTH(O$2&amp;$H3,0)),SUMIFS($C$3:$C$1000,$B$3:$B$1000,IF($I$1="","&lt;&gt;"&amp;$I$1,$I$1),$A$3:$A$1000,"&gt;="&amp;O$2&amp;$H3,$A$3:$A$1000,"&lt;="&amp;EOMONTH(O$2&amp;$H3,0))/2.20462)</f>
        <v>3157.9998596972578</v>
      </c>
      <c r="P3" s="11">
        <f t="shared" ref="P3:P8" si="6">IF($D$3="lb",SUMIFS($C$3:$C$1000,$B$3:$B$1000,IF($I$1="","&lt;&gt;"&amp;$I$1,$I$1),$A$3:$A$1000,"&gt;="&amp;P$2&amp;$H3,$A$3:$A$1000,"&lt;="&amp;EOMONTH(P$2&amp;$H3,0)),SUMIFS($C$3:$C$1000,$B$3:$B$1000,IF($I$1="","&lt;&gt;"&amp;$I$1,$I$1),$A$3:$A$1000,"&gt;="&amp;P$2&amp;$H3,$A$3:$A$1000,"&lt;="&amp;EOMONTH(P$2&amp;$H3,0))/2.20462)</f>
        <v>3741</v>
      </c>
      <c r="Q3" s="11">
        <f t="shared" ref="Q3:Q8" si="7">IF($D$3="lb",SUMIFS($C$3:$C$1000,$B$3:$B$1000,IF($I$1="","&lt;&gt;"&amp;$I$1,$I$1),$A$3:$A$1000,"&gt;="&amp;Q$2&amp;$H3,$A$3:$A$1000,"&lt;="&amp;EOMONTH(Q$2&amp;$H3,0)),SUMIFS($C$3:$C$1000,$B$3:$B$1000,IF($I$1="","&lt;&gt;"&amp;$I$1,$I$1),$A$3:$A$1000,"&gt;="&amp;Q$2&amp;$H3,$A$3:$A$1000,"&lt;="&amp;EOMONTH(Q$2&amp;$H3,0))/2.20462)</f>
        <v>4293</v>
      </c>
      <c r="R3" s="11">
        <f t="shared" ref="R3:R8" si="8">IF($D$3="lb",SUMIFS($C$3:$C$1000,$B$3:$B$1000,IF($I$1="","&lt;&gt;"&amp;$I$1,$I$1),$A$3:$A$1000,"&gt;="&amp;R$2&amp;$H3,$A$3:$A$1000,"&lt;="&amp;EOMONTH(R$2&amp;$H3,0)),SUMIFS($C$3:$C$1000,$B$3:$B$1000,IF($I$1="","&lt;&gt;"&amp;$I$1,$I$1),$A$3:$A$1000,"&gt;="&amp;R$2&amp;$H3,$A$3:$A$1000,"&lt;="&amp;EOMONTH(R$2&amp;$H3,0))/2.20462)</f>
        <v>11137</v>
      </c>
      <c r="S3" s="11">
        <f t="shared" ref="S3:S8" si="9">IF($D$3="lb",SUMIFS($C$3:$C$1000,$B$3:$B$1000,IF($I$1="","&lt;&gt;"&amp;$I$1,$I$1),$A$3:$A$1000,"&gt;="&amp;S$2&amp;$H3,$A$3:$A$1000,"&lt;="&amp;EOMONTH(S$2&amp;$H3,0)),SUMIFS($C$3:$C$1000,$B$3:$B$1000,IF($I$1="","&lt;&gt;"&amp;$I$1,$I$1),$A$3:$A$1000,"&gt;="&amp;S$2&amp;$H3,$A$3:$A$1000,"&lt;="&amp;EOMONTH(S$2&amp;$H3,0))/2.20462)</f>
        <v>6349</v>
      </c>
      <c r="T3" s="12">
        <f t="shared" ref="T3:T8" si="10">IF($D$3="lb",SUMIFS($C$3:$C$1000,$B$3:$B$1000,IF($I$1="","&lt;&gt;"&amp;$I$1,$I$1),$A$3:$A$1000,"&gt;="&amp;T$2&amp;$H3,$A$3:$A$1000,"&lt;="&amp;EOMONTH(T$2&amp;$H3,0)),SUMIFS($C$3:$C$1000,$B$3:$B$1000,IF($I$1="","&lt;&gt;"&amp;$I$1,$I$1),$A$3:$A$1000,"&gt;="&amp;T$2&amp;$H3,$A$3:$A$1000,"&lt;="&amp;EOMONTH(T$2&amp;$H3,0))/2.20462)</f>
        <v>14569.001814728019</v>
      </c>
      <c r="U3" s="25">
        <f>SUM(I3:T3)</f>
        <v>65355.999715037033</v>
      </c>
    </row>
    <row r="4" spans="1:22" ht="18.75" x14ac:dyDescent="0.25">
      <c r="A4" s="6">
        <v>43873</v>
      </c>
      <c r="B4" t="s">
        <v>44</v>
      </c>
      <c r="C4">
        <f t="shared" si="0"/>
        <v>939</v>
      </c>
      <c r="D4" t="s">
        <v>5</v>
      </c>
      <c r="E4">
        <v>5.5</v>
      </c>
      <c r="F4">
        <v>5164.5</v>
      </c>
      <c r="H4" s="23">
        <v>2021</v>
      </c>
      <c r="I4" s="13">
        <f t="shared" ref="I4:I8" si="11">IF($D$3="lb",SUMIFS($C$3:$C$1000,$B$3:$B$1000,IF($I$1="","&lt;&gt;"&amp;$I$1,$I$1),$A$3:$A$1000,"&gt;="&amp;I$2&amp;$H4,$A$3:$A$1000,"&lt;="&amp;EOMONTH(I$2&amp;$H4,0)),SUMIFS($C$3:$C$1000,$B$3:$B$1000,IF($I$1="","&lt;&gt;"&amp;$I$1,$I$1),$A$3:$A$1000,"&gt;="&amp;I$2&amp;$H4,$A$3:$A$1000,"&lt;="&amp;EOMONTH(I$2&amp;$H4,0))/2.20462)</f>
        <v>5800</v>
      </c>
      <c r="J4" s="14">
        <f>IF($D$3="lb",SUMIFS($C$3:$C$1000,$B$3:$B$1000,IF($I$1="","&lt;&gt;"&amp;$I$1,$I$1),$A$3:$A$1000,"&gt;="&amp;J$2&amp;$H4,$A$3:$A$1000,"&lt;="&amp;EOMONTH(J$2&amp;$H4,0)),SUMIFS($C$3:$C$1000,$B$3:$B$1000,IF($I$1="","&lt;&gt;"&amp;$I$1,$I$1),$A$3:$A$1000,"&gt;="&amp;J$2&amp;$H4,$A$3:$A$1000,"&lt;="&amp;EOMONTH(J$2&amp;$H4,0))/2.20462)</f>
        <v>2882.0002144312211</v>
      </c>
      <c r="K4" s="14">
        <f t="shared" si="1"/>
        <v>7275.0000709215665</v>
      </c>
      <c r="L4" s="14">
        <f t="shared" si="2"/>
        <v>7575</v>
      </c>
      <c r="M4" s="14">
        <f t="shared" si="3"/>
        <v>938</v>
      </c>
      <c r="N4" s="14">
        <f t="shared" si="4"/>
        <v>2476.0003440387654</v>
      </c>
      <c r="O4" s="14">
        <f t="shared" si="5"/>
        <v>3682.0005057049843</v>
      </c>
      <c r="P4" s="14">
        <f t="shared" si="6"/>
        <v>1784</v>
      </c>
      <c r="Q4" s="14">
        <f t="shared" si="7"/>
        <v>3888.2</v>
      </c>
      <c r="R4" s="14">
        <f t="shared" si="8"/>
        <v>1581.7999989627376</v>
      </c>
      <c r="S4" s="14">
        <f t="shared" si="9"/>
        <v>6683.0001038917862</v>
      </c>
      <c r="T4" s="15">
        <f t="shared" si="10"/>
        <v>336.40000368021219</v>
      </c>
      <c r="U4" s="26">
        <f t="shared" ref="U4:U8" si="12">SUM(I4:T4)</f>
        <v>44901.401241631269</v>
      </c>
    </row>
    <row r="5" spans="1:22" ht="18.75" x14ac:dyDescent="0.25">
      <c r="A5" s="6">
        <v>43878</v>
      </c>
      <c r="B5" t="s">
        <v>45</v>
      </c>
      <c r="C5">
        <f t="shared" si="0"/>
        <v>6861.9983165870717</v>
      </c>
      <c r="D5" t="s">
        <v>5</v>
      </c>
      <c r="E5">
        <v>5.5007299999999999</v>
      </c>
      <c r="F5">
        <v>37746</v>
      </c>
      <c r="H5" s="23">
        <v>2022</v>
      </c>
      <c r="I5" s="13">
        <f t="shared" si="11"/>
        <v>12339.999515269026</v>
      </c>
      <c r="J5" s="14">
        <f t="shared" ref="J5:J8" si="13">IF($D$3="lb",SUMIFS($C$3:$C$1000,$B$3:$B$1000,IF($I$1="","&lt;&gt;"&amp;$I$1,$I$1),$A$3:$A$1000,"&gt;="&amp;J$2&amp;$H5,$A$3:$A$1000,"&lt;="&amp;EOMONTH(J$2&amp;$H5,0)),SUMIFS($C$3:$C$1000,$B$3:$B$1000,IF($I$1="","&lt;&gt;"&amp;$I$1,$I$1),$A$3:$A$1000,"&gt;="&amp;J$2&amp;$H5,$A$3:$A$1000,"&lt;="&amp;EOMONTH(J$2&amp;$H5,0))/2.20462)</f>
        <v>2081</v>
      </c>
      <c r="K5" s="14">
        <f t="shared" si="1"/>
        <v>6000.4000000000005</v>
      </c>
      <c r="L5" s="14">
        <f t="shared" si="2"/>
        <v>3746.0000659101906</v>
      </c>
      <c r="M5" s="14">
        <f t="shared" si="3"/>
        <v>1847</v>
      </c>
      <c r="N5" s="14">
        <f t="shared" si="4"/>
        <v>1077.0000664486167</v>
      </c>
      <c r="O5" s="14">
        <f t="shared" si="5"/>
        <v>223</v>
      </c>
      <c r="P5" s="14">
        <f t="shared" si="6"/>
        <v>13021.799996337173</v>
      </c>
      <c r="Q5" s="14">
        <f t="shared" si="7"/>
        <v>218</v>
      </c>
      <c r="R5" s="14">
        <f t="shared" si="8"/>
        <v>9853.699904973173</v>
      </c>
      <c r="S5" s="14">
        <f t="shared" si="9"/>
        <v>10071.000126171404</v>
      </c>
      <c r="T5" s="15">
        <f t="shared" si="10"/>
        <v>2574</v>
      </c>
      <c r="U5" s="26">
        <f t="shared" si="12"/>
        <v>63052.899675109591</v>
      </c>
    </row>
    <row r="6" spans="1:22" ht="18.75" x14ac:dyDescent="0.25">
      <c r="A6" s="6">
        <v>43892</v>
      </c>
      <c r="B6" t="s">
        <v>46</v>
      </c>
      <c r="C6">
        <f t="shared" si="0"/>
        <v>1411</v>
      </c>
      <c r="D6" t="s">
        <v>5</v>
      </c>
      <c r="E6">
        <v>5.5</v>
      </c>
      <c r="F6">
        <v>7760.5</v>
      </c>
      <c r="H6" s="23">
        <v>2023</v>
      </c>
      <c r="I6" s="13">
        <f t="shared" si="11"/>
        <v>14132.001516877475</v>
      </c>
      <c r="J6" s="14">
        <f t="shared" si="13"/>
        <v>0</v>
      </c>
      <c r="K6" s="14">
        <f t="shared" si="1"/>
        <v>10884</v>
      </c>
      <c r="L6" s="14">
        <f t="shared" si="2"/>
        <v>2429.9998583607021</v>
      </c>
      <c r="M6" s="14">
        <f>IF($D$3="lb",SUMIFS($C$3:$C$1000,$B$3:$B$1000,IF($I$1="","&lt;&gt;"&amp;$I$1,$I$1),$A$3:$A$1000,"&gt;="&amp;M$2&amp;$H6,$A$3:$A$1000,"&lt;="&amp;EOMONTH(M$2&amp;$H6,0)),SUMIFS($C$3:$C$1000,$B$3:$B$1000,IF($I$1="","&lt;&gt;"&amp;$I$1,$I$1),$A$3:$A$1000,"&gt;="&amp;M$2&amp;$H6,$A$3:$A$1000,"&lt;="&amp;EOMONTH(M$2&amp;$H6,0))/2.20462)</f>
        <v>10322</v>
      </c>
      <c r="N6" s="14">
        <f t="shared" si="4"/>
        <v>5770.999863066726</v>
      </c>
      <c r="O6" s="14">
        <f t="shared" si="5"/>
        <v>10081.999595153306</v>
      </c>
      <c r="P6" s="14">
        <f t="shared" si="6"/>
        <v>1604.1877445558937</v>
      </c>
      <c r="Q6" s="14">
        <f t="shared" si="7"/>
        <v>11086.99952282294</v>
      </c>
      <c r="R6" s="14">
        <f t="shared" si="8"/>
        <v>509.00009572809336</v>
      </c>
      <c r="S6" s="14">
        <f t="shared" si="9"/>
        <v>3807</v>
      </c>
      <c r="T6" s="15">
        <f t="shared" si="10"/>
        <v>1702.9996634318732</v>
      </c>
      <c r="U6" s="26">
        <f t="shared" si="12"/>
        <v>72331.187859996993</v>
      </c>
    </row>
    <row r="7" spans="1:22" ht="18.75" x14ac:dyDescent="0.25">
      <c r="A7" s="6">
        <v>43906</v>
      </c>
      <c r="B7" t="s">
        <v>44</v>
      </c>
      <c r="C7">
        <f t="shared" si="0"/>
        <v>599</v>
      </c>
      <c r="D7" t="s">
        <v>5</v>
      </c>
      <c r="E7">
        <v>5.5</v>
      </c>
      <c r="F7">
        <v>3294.5</v>
      </c>
      <c r="H7" s="23">
        <v>2024</v>
      </c>
      <c r="I7" s="13">
        <f t="shared" si="11"/>
        <v>6553.0000000000009</v>
      </c>
      <c r="J7" s="14">
        <f t="shared" si="13"/>
        <v>1634.9996239253448</v>
      </c>
      <c r="K7" s="14">
        <f t="shared" si="1"/>
        <v>2727</v>
      </c>
      <c r="L7" s="14">
        <f t="shared" si="2"/>
        <v>585</v>
      </c>
      <c r="M7" s="14">
        <f t="shared" si="3"/>
        <v>3739</v>
      </c>
      <c r="N7" s="14">
        <f t="shared" si="4"/>
        <v>3400.9996826512843</v>
      </c>
      <c r="O7" s="14">
        <f t="shared" si="5"/>
        <v>1508</v>
      </c>
      <c r="P7" s="14">
        <f t="shared" si="6"/>
        <v>8596.500351120314</v>
      </c>
      <c r="Q7" s="14">
        <f t="shared" si="7"/>
        <v>10499.999994908982</v>
      </c>
      <c r="R7" s="14">
        <f t="shared" si="8"/>
        <v>13039</v>
      </c>
      <c r="S7" s="14">
        <f t="shared" si="9"/>
        <v>5065</v>
      </c>
      <c r="T7" s="15">
        <f t="shared" si="10"/>
        <v>2804</v>
      </c>
      <c r="U7" s="26">
        <f t="shared" si="12"/>
        <v>60152.499652605926</v>
      </c>
    </row>
    <row r="8" spans="1:22" ht="18.75" x14ac:dyDescent="0.25">
      <c r="A8" s="6">
        <v>43927</v>
      </c>
      <c r="B8" t="s">
        <v>44</v>
      </c>
      <c r="C8">
        <f t="shared" si="0"/>
        <v>547</v>
      </c>
      <c r="D8" t="s">
        <v>5</v>
      </c>
      <c r="E8">
        <v>5.6</v>
      </c>
      <c r="F8">
        <v>3063.2</v>
      </c>
      <c r="H8" s="24">
        <v>2025</v>
      </c>
      <c r="I8" s="32">
        <f t="shared" si="11"/>
        <v>0</v>
      </c>
      <c r="J8" s="33">
        <f t="shared" si="13"/>
        <v>0</v>
      </c>
      <c r="K8" s="33">
        <f t="shared" si="1"/>
        <v>0</v>
      </c>
      <c r="L8" s="33">
        <f t="shared" si="2"/>
        <v>0</v>
      </c>
      <c r="M8" s="33">
        <f t="shared" si="3"/>
        <v>0</v>
      </c>
      <c r="N8" s="33">
        <f t="shared" si="4"/>
        <v>0</v>
      </c>
      <c r="O8" s="33">
        <f t="shared" si="5"/>
        <v>0</v>
      </c>
      <c r="P8" s="33">
        <f t="shared" si="6"/>
        <v>0</v>
      </c>
      <c r="Q8" s="33">
        <f t="shared" si="7"/>
        <v>0</v>
      </c>
      <c r="R8" s="33">
        <f t="shared" si="8"/>
        <v>0</v>
      </c>
      <c r="S8" s="33">
        <f t="shared" si="9"/>
        <v>0</v>
      </c>
      <c r="T8" s="34">
        <f t="shared" si="10"/>
        <v>0</v>
      </c>
      <c r="U8" s="35">
        <f t="shared" si="12"/>
        <v>0</v>
      </c>
    </row>
    <row r="9" spans="1:22" ht="19.5" thickBot="1" x14ac:dyDescent="0.3">
      <c r="A9" s="6">
        <v>43942</v>
      </c>
      <c r="B9" t="s">
        <v>44</v>
      </c>
      <c r="C9">
        <f t="shared" si="0"/>
        <v>1256.0000000000002</v>
      </c>
      <c r="D9" t="s">
        <v>5</v>
      </c>
      <c r="E9">
        <v>5.6</v>
      </c>
      <c r="F9">
        <v>7033.6</v>
      </c>
      <c r="H9" s="36" t="s">
        <v>26</v>
      </c>
      <c r="I9" s="38">
        <f>SUM(Table4[January])</f>
        <v>38825.001032146502</v>
      </c>
      <c r="J9" s="38">
        <f>SUM(Table4[February])</f>
        <v>14437.998154943638</v>
      </c>
      <c r="K9" s="38">
        <f>SUM(Table4[March])</f>
        <v>28896.400070921569</v>
      </c>
      <c r="L9" s="38">
        <f>SUM(Table4[April])</f>
        <v>16309.999924270891</v>
      </c>
      <c r="M9" s="38">
        <f>SUM(Table4[May])</f>
        <v>21434.999724024685</v>
      </c>
      <c r="N9" s="38">
        <f>SUM(Table4[June])</f>
        <v>18420.999956205393</v>
      </c>
      <c r="O9" s="38">
        <f>SUM(Table4[July])</f>
        <v>18652.999960555549</v>
      </c>
      <c r="P9" s="38">
        <f>SUM(Table4[August])</f>
        <v>28747.48809201338</v>
      </c>
      <c r="Q9" s="38">
        <f>SUM(Table4[September])</f>
        <v>29986.199517731926</v>
      </c>
      <c r="R9" s="38">
        <f>SUM(Table4[October])</f>
        <v>36120.499999664004</v>
      </c>
      <c r="S9" s="38">
        <f>SUM(Table4[November])</f>
        <v>31975.00023006319</v>
      </c>
      <c r="T9" s="38">
        <f>SUM(Table4[December])</f>
        <v>21986.401481840105</v>
      </c>
      <c r="U9" s="37">
        <f>SUBTOTAL(109,Table4[TOTALS:])</f>
        <v>305793.9881443808</v>
      </c>
    </row>
    <row r="10" spans="1:22" ht="19.5" thickTop="1" x14ac:dyDescent="0.25">
      <c r="A10" s="6">
        <v>43950</v>
      </c>
      <c r="B10" t="s">
        <v>44</v>
      </c>
      <c r="C10">
        <f t="shared" si="0"/>
        <v>171</v>
      </c>
      <c r="D10" t="s">
        <v>5</v>
      </c>
      <c r="E10">
        <v>5.75</v>
      </c>
      <c r="F10">
        <v>983.25</v>
      </c>
      <c r="H10" s="39" t="s">
        <v>21</v>
      </c>
      <c r="I10" s="40" cm="1">
        <f t="array" ref="I10">IF($D$3="lb",SUMPRODUCT($C$3:$C$1000,--(MONTH($A$3:$A$1000)=1)),SUMPRODUCT($C$3:$C$1000,--(MONTH($A$3:$A$1000)=1))/2.20462)</f>
        <v>38825.001032146502</v>
      </c>
      <c r="J10" s="40" cm="1">
        <f t="array" ref="J10">IF($D$3="lb",SUMPRODUCT($C$3:$C$1000,--(MONTH($A$3:$A$1000)=2)),SUMPRODUCT($C$3:$C$1000,--(MONTH($A$3:$A$1000)=2))/2.20462)</f>
        <v>14437.998154943638</v>
      </c>
      <c r="K10" s="40" cm="1">
        <f t="array" ref="K10">IF($D$3="lb",SUMPRODUCT($C$3:$C$1000,--(MONTH($A$3:$A$1000)=3)),SUMPRODUCT($C$3:$C$1000,--(MONTH($A$3:$A$1000)=3))/2.20462)</f>
        <v>28896.400070921569</v>
      </c>
      <c r="L10" s="40" cm="1">
        <f t="array" ref="L10">IF($D$3="lb",SUMPRODUCT($C$3:$C$1000,--(MONTH($A$3:$A$1000)=4)),SUMPRODUCT($C$3:$C$1000,--(MONTH($A$3:$A$1000)=4))/2.20462)</f>
        <v>16309.999924270893</v>
      </c>
      <c r="M10" s="40" cm="1">
        <f t="array" ref="M10">IF($D$3="lb",SUMPRODUCT($C$3:$C$1000,--(MONTH($A$3:$A$1000)=5)),SUMPRODUCT($C$3:$C$1000,--(MONTH($A$3:$A$1000)=5))/2.20462)</f>
        <v>21434.999724024685</v>
      </c>
      <c r="N10" s="40" cm="1">
        <f t="array" ref="N10">IF($D$3="lb",SUMPRODUCT($C$3:$C$1000,--(MONTH($A$3:$A$1000)=6)),SUMPRODUCT($C$3:$C$1000,--(MONTH($A$3:$A$1000)=6))/2.20462)</f>
        <v>18420.999956205393</v>
      </c>
      <c r="O10" s="40" cm="1">
        <f t="array" ref="O10">IF($D$3="lb",SUMPRODUCT($C$3:$C$1000,--(MONTH($A$3:$A$1000)=7)),SUMPRODUCT($C$3:$C$1000,--(MONTH($A$3:$A$1000)=7))/2.20462)</f>
        <v>18652.999960555549</v>
      </c>
      <c r="P10" s="40" cm="1">
        <f t="array" ref="P10">IF($D$3="lb",SUMPRODUCT($C$3:$C$1000,--(MONTH($A$3:$A$1000)=8)),SUMPRODUCT($C$3:$C$1000,--(MONTH($A$3:$A$1000)=8))/2.20462)</f>
        <v>28747.48809201338</v>
      </c>
      <c r="Q10" s="40" cm="1">
        <f t="array" ref="Q10">IF($D$3="lb",SUMPRODUCT($C$3:$C$1000,--(MONTH($A$3:$A$1000)=9)),SUMPRODUCT($C$3:$C$1000,--(MONTH($A$3:$A$1000)=9))/2.20462)</f>
        <v>29986.199517731922</v>
      </c>
      <c r="R10" s="40" cm="1">
        <f t="array" ref="R10">IF($D$3="lb",SUMPRODUCT($C$3:$C$1000,--(MONTH($A$3:$A$1000)=10)),SUMPRODUCT($C$3:$C$1000,--(MONTH($A$3:$A$1000)=10))/2.20462)</f>
        <v>36120.499999664004</v>
      </c>
      <c r="S10" s="40" cm="1">
        <f t="array" ref="S10">IF($D$3="lb",SUMPRODUCT($C$3:$C$1000,--(MONTH($A$3:$A$1000)=11)),SUMPRODUCT($C$3:$C$1000,--(MONTH($A$3:$A$1000)=11))/2.20462)</f>
        <v>31975.00023006319</v>
      </c>
      <c r="T10" s="45" cm="1">
        <f t="array" ref="T10">IF($D$3="lb",SUMPRODUCT($C$3:$C$1000,--(MONTH($A$3:$A$1000)=12)),SUMPRODUCT($C$3:$C$1000,--(MONTH($A$3:$A$1000)=12))/2.20462)</f>
        <v>21986.401481840105</v>
      </c>
      <c r="U10" s="50">
        <f>SUM(I10:T10)</f>
        <v>305793.98814438086</v>
      </c>
    </row>
    <row r="11" spans="1:22" ht="37.5" x14ac:dyDescent="0.25">
      <c r="A11" s="6">
        <v>43955</v>
      </c>
      <c r="B11" t="s">
        <v>45</v>
      </c>
      <c r="C11">
        <f t="shared" si="0"/>
        <v>1679.999724024686</v>
      </c>
      <c r="D11" t="s">
        <v>5</v>
      </c>
      <c r="E11">
        <v>5.7976200000000002</v>
      </c>
      <c r="F11">
        <v>9740</v>
      </c>
      <c r="H11" s="41" t="s">
        <v>23</v>
      </c>
      <c r="I11" s="53" t="s">
        <v>69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46"/>
      <c r="U11" s="51">
        <f>SUM(I10:T10)/12</f>
        <v>25482.83234536507</v>
      </c>
    </row>
    <row r="12" spans="1:22" ht="37.5" x14ac:dyDescent="0.25">
      <c r="A12" s="6">
        <v>43958</v>
      </c>
      <c r="B12" t="s">
        <v>44</v>
      </c>
      <c r="C12">
        <f t="shared" si="0"/>
        <v>771</v>
      </c>
      <c r="D12" t="s">
        <v>5</v>
      </c>
      <c r="E12">
        <v>5.5</v>
      </c>
      <c r="F12">
        <v>4240.5</v>
      </c>
      <c r="H12" s="41" t="s">
        <v>70</v>
      </c>
      <c r="I12" s="53" t="s">
        <v>71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7"/>
      <c r="U12" s="17"/>
    </row>
    <row r="13" spans="1:22" ht="37.5" customHeight="1" x14ac:dyDescent="0.25">
      <c r="A13" s="6">
        <v>43979</v>
      </c>
      <c r="B13" t="s">
        <v>44</v>
      </c>
      <c r="C13">
        <f t="shared" si="0"/>
        <v>10.999999999999998</v>
      </c>
      <c r="D13" t="s">
        <v>5</v>
      </c>
      <c r="E13">
        <v>5.65</v>
      </c>
      <c r="F13">
        <v>62.15</v>
      </c>
      <c r="H13" s="41" t="s">
        <v>22</v>
      </c>
      <c r="I13" s="54" t="s">
        <v>28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8"/>
      <c r="U13" s="52" t="str">
        <f>IF(I1="","",Table4[[#Totals],[TOTALS:]]/U10)</f>
        <v/>
      </c>
      <c r="V13" s="21" t="s">
        <v>72</v>
      </c>
    </row>
    <row r="14" spans="1:22" ht="37.5" x14ac:dyDescent="0.25">
      <c r="A14" s="6">
        <v>43979</v>
      </c>
      <c r="B14" t="s">
        <v>44</v>
      </c>
      <c r="C14">
        <f t="shared" si="0"/>
        <v>2127</v>
      </c>
      <c r="D14" t="s">
        <v>5</v>
      </c>
      <c r="E14">
        <v>5.75</v>
      </c>
      <c r="F14">
        <v>12230.25</v>
      </c>
      <c r="H14" s="41" t="s">
        <v>24</v>
      </c>
      <c r="I14" s="53" t="s">
        <v>73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46"/>
      <c r="U14" s="17" t="str">
        <f>IF(I1="","",SUM(I14:T14)/12)</f>
        <v/>
      </c>
      <c r="V14" s="21" t="s">
        <v>74</v>
      </c>
    </row>
    <row r="15" spans="1:22" ht="38.25" thickBot="1" x14ac:dyDescent="0.3">
      <c r="A15" s="6">
        <v>43984</v>
      </c>
      <c r="B15" t="s">
        <v>47</v>
      </c>
      <c r="C15">
        <f t="shared" si="0"/>
        <v>47</v>
      </c>
      <c r="D15" t="s">
        <v>5</v>
      </c>
      <c r="E15">
        <v>5.5</v>
      </c>
      <c r="F15">
        <v>258.5</v>
      </c>
      <c r="H15" s="44" t="s">
        <v>27</v>
      </c>
      <c r="I15" s="55" t="s">
        <v>75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49"/>
      <c r="U15" s="18" t="str">
        <f>IF(I1="","",SUM(Table4[[#Totals],[TOTALS:]]/COUNT(Table4[Year])))</f>
        <v/>
      </c>
    </row>
    <row r="16" spans="1:22" ht="15.75" customHeight="1" thickTop="1" x14ac:dyDescent="0.25">
      <c r="A16" s="6">
        <v>43992</v>
      </c>
      <c r="B16" t="s">
        <v>48</v>
      </c>
      <c r="C16">
        <f t="shared" si="0"/>
        <v>898</v>
      </c>
      <c r="D16" t="s">
        <v>5</v>
      </c>
      <c r="E16">
        <v>5.5</v>
      </c>
      <c r="F16">
        <v>4939</v>
      </c>
      <c r="I16" s="88" t="s">
        <v>29</v>
      </c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</row>
    <row r="17" spans="1:22" ht="15" customHeight="1" x14ac:dyDescent="0.25">
      <c r="A17" s="6">
        <v>43997</v>
      </c>
      <c r="B17" t="s">
        <v>44</v>
      </c>
      <c r="C17">
        <f t="shared" si="0"/>
        <v>975</v>
      </c>
      <c r="D17" t="s">
        <v>5</v>
      </c>
      <c r="E17">
        <v>5.75</v>
      </c>
      <c r="F17">
        <v>5606.25</v>
      </c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</row>
    <row r="18" spans="1:22" x14ac:dyDescent="0.25">
      <c r="A18" s="6">
        <v>44007</v>
      </c>
      <c r="B18" t="s">
        <v>49</v>
      </c>
      <c r="C18">
        <f t="shared" si="0"/>
        <v>3776</v>
      </c>
      <c r="D18" t="s">
        <v>5</v>
      </c>
      <c r="E18">
        <v>5.75</v>
      </c>
      <c r="F18">
        <v>21712</v>
      </c>
    </row>
    <row r="19" spans="1:22" x14ac:dyDescent="0.25">
      <c r="A19" s="6">
        <v>44025</v>
      </c>
      <c r="B19" t="s">
        <v>44</v>
      </c>
      <c r="C19">
        <f t="shared" si="0"/>
        <v>943</v>
      </c>
      <c r="D19" t="s">
        <v>5</v>
      </c>
      <c r="E19">
        <v>5.75</v>
      </c>
      <c r="F19">
        <v>5422.25</v>
      </c>
    </row>
    <row r="20" spans="1:22" x14ac:dyDescent="0.25">
      <c r="A20" s="6">
        <v>44033</v>
      </c>
      <c r="B20" t="s">
        <v>50</v>
      </c>
      <c r="C20">
        <f t="shared" si="0"/>
        <v>815</v>
      </c>
      <c r="D20" t="s">
        <v>5</v>
      </c>
      <c r="E20">
        <v>5.5</v>
      </c>
      <c r="F20">
        <v>4482.5</v>
      </c>
    </row>
    <row r="21" spans="1:22" x14ac:dyDescent="0.25">
      <c r="A21" s="6">
        <v>44033</v>
      </c>
      <c r="B21" t="s">
        <v>51</v>
      </c>
      <c r="C21">
        <f t="shared" si="0"/>
        <v>1047</v>
      </c>
      <c r="D21" t="s">
        <v>5</v>
      </c>
      <c r="E21">
        <v>5.75</v>
      </c>
      <c r="F21">
        <v>6020.25</v>
      </c>
    </row>
    <row r="22" spans="1:22" x14ac:dyDescent="0.25">
      <c r="A22" s="6">
        <v>44040</v>
      </c>
      <c r="B22" t="s">
        <v>52</v>
      </c>
      <c r="C22">
        <f t="shared" si="0"/>
        <v>221.99985969725788</v>
      </c>
      <c r="D22" t="s">
        <v>5</v>
      </c>
      <c r="E22">
        <v>5.1317599999999999</v>
      </c>
      <c r="F22">
        <v>1139.25</v>
      </c>
      <c r="H22" s="87" t="s">
        <v>20</v>
      </c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</row>
    <row r="23" spans="1:22" ht="19.5" thickBot="1" x14ac:dyDescent="0.3">
      <c r="A23" s="6">
        <v>44041</v>
      </c>
      <c r="B23" t="s">
        <v>47</v>
      </c>
      <c r="C23">
        <f t="shared" si="0"/>
        <v>131</v>
      </c>
      <c r="D23" t="s">
        <v>5</v>
      </c>
      <c r="E23">
        <v>5.5</v>
      </c>
      <c r="F23">
        <v>720.5</v>
      </c>
      <c r="H23" s="27" t="s">
        <v>25</v>
      </c>
      <c r="I23" s="28" t="s">
        <v>6</v>
      </c>
      <c r="J23" s="29" t="s">
        <v>7</v>
      </c>
      <c r="K23" s="29" t="s">
        <v>8</v>
      </c>
      <c r="L23" s="29" t="s">
        <v>9</v>
      </c>
      <c r="M23" s="29" t="s">
        <v>10</v>
      </c>
      <c r="N23" s="29" t="s">
        <v>11</v>
      </c>
      <c r="O23" s="29" t="s">
        <v>12</v>
      </c>
      <c r="P23" s="29" t="s">
        <v>13</v>
      </c>
      <c r="Q23" s="29" t="s">
        <v>14</v>
      </c>
      <c r="R23" s="29" t="s">
        <v>15</v>
      </c>
      <c r="S23" s="29" t="s">
        <v>16</v>
      </c>
      <c r="T23" s="30" t="s">
        <v>17</v>
      </c>
      <c r="U23" s="31" t="s">
        <v>19</v>
      </c>
    </row>
    <row r="24" spans="1:22" ht="19.5" thickTop="1" x14ac:dyDescent="0.25">
      <c r="A24" s="6">
        <v>44054</v>
      </c>
      <c r="B24" t="s">
        <v>44</v>
      </c>
      <c r="C24">
        <f t="shared" si="0"/>
        <v>1040</v>
      </c>
      <c r="D24" t="s">
        <v>5</v>
      </c>
      <c r="E24">
        <v>5.75</v>
      </c>
      <c r="F24">
        <v>5980</v>
      </c>
      <c r="H24" s="22">
        <v>2020</v>
      </c>
      <c r="I24" s="56">
        <f t="shared" ref="I24:I29" si="14">IF($D$3="lb",SUMIFS($F$3:$F$1000,$B$3:$B$1000,IF($I$1="","&lt;&gt;"&amp;$I$1,$I$1),$A$3:$A$1000,"&gt;="&amp;I$2&amp;$H3,$A$3:$A$1000,"&lt;="&amp;EOMONTH(I$2&amp;$H3,0)),SUMIFS($F$3:$F$1000,$B$3:$B$1000,IF($I$1="","&lt;&gt;"&amp;$I$1,$I$1),$A$3:$A$1000,"&gt;="&amp;I$2&amp;$H3,$A$3:$A$1000,"&lt;="&amp;EOMONTH(I$2&amp;$H3,0))/2.20462)</f>
        <v>0</v>
      </c>
      <c r="J24" s="56">
        <f t="shared" ref="J24:J29" si="15">IF($D$3="lb",SUMIFS($F$3:$F$1000,$B$3:$B$1000,IF($I$1="","&lt;&gt;"&amp;$I$1,$I$1),$A$3:$A$1000,"&gt;="&amp;J$2&amp;$H3,$A$3:$A$1000,"&lt;="&amp;EOMONTH(J$2&amp;$H3,0)),SUMIFS($F$3:$F$1000,$B$3:$B$1000,IF($I$1="","&lt;&gt;"&amp;$I$1,$I$1),$A$3:$A$1000,"&gt;="&amp;J$2&amp;$H3,$A$3:$A$1000,"&lt;="&amp;EOMONTH(J$2&amp;$H3,0))/2.20462)</f>
        <v>43115.25</v>
      </c>
      <c r="K24" s="56">
        <f t="shared" ref="K24:K29" si="16">IF($D$3="lb",SUMIFS($F$3:$F$1000,$B$3:$B$1000,IF($I$1="","&lt;&gt;"&amp;$I$1,$I$1),$A$3:$A$1000,"&gt;="&amp;K$2&amp;$H3,$A$3:$A$1000,"&lt;="&amp;EOMONTH(K$2&amp;$H3,0)),SUMIFS($F$3:$F$1000,$B$3:$B$1000,IF($I$1="","&lt;&gt;"&amp;$I$1,$I$1),$A$3:$A$1000,"&gt;="&amp;K$2&amp;$H3,$A$3:$A$1000,"&lt;="&amp;EOMONTH(K$2&amp;$H3,0))/2.20462)</f>
        <v>11055</v>
      </c>
      <c r="L24" s="56">
        <f t="shared" ref="L24:L29" si="17">IF($D$3="lb",SUMIFS($F$3:$F$1000,$B$3:$B$1000,IF($I$1="","&lt;&gt;"&amp;$I$1,$I$1),$A$3:$A$1000,"&gt;="&amp;L$2&amp;$H3,$A$3:$A$1000,"&lt;="&amp;EOMONTH(L$2&amp;$H3,0)),SUMIFS($F$3:$F$1000,$B$3:$B$1000,IF($I$1="","&lt;&gt;"&amp;$I$1,$I$1),$A$3:$A$1000,"&gt;="&amp;L$2&amp;$H3,$A$3:$A$1000,"&lt;="&amp;EOMONTH(L$2&amp;$H3,0))/2.20462)</f>
        <v>11080.05</v>
      </c>
      <c r="M24" s="56">
        <f t="shared" ref="M24:M29" si="18">IF($D$3="lb",SUMIFS($F$3:$F$1000,$B$3:$B$1000,IF($I$1="","&lt;&gt;"&amp;$I$1,$I$1),$A$3:$A$1000,"&gt;="&amp;M$2&amp;$H3,$A$3:$A$1000,"&lt;="&amp;EOMONTH(M$2&amp;$H3,0)),SUMIFS($F$3:$F$1000,$B$3:$B$1000,IF($I$1="","&lt;&gt;"&amp;$I$1,$I$1),$A$3:$A$1000,"&gt;="&amp;M$2&amp;$H3,$A$3:$A$1000,"&lt;="&amp;EOMONTH(M$2&amp;$H3,0))/2.20462)</f>
        <v>26272.9</v>
      </c>
      <c r="N24" s="56">
        <f t="shared" ref="N24:N29" si="19">IF($D$3="lb",SUMIFS($F$3:$F$1000,$B$3:$B$1000,IF($I$1="","&lt;&gt;"&amp;$I$1,$I$1),$A$3:$A$1000,"&gt;="&amp;N$2&amp;$H3,$A$3:$A$1000,"&lt;="&amp;EOMONTH(N$2&amp;$H3,0)),SUMIFS($F$3:$F$1000,$B$3:$B$1000,IF($I$1="","&lt;&gt;"&amp;$I$1,$I$1),$A$3:$A$1000,"&gt;="&amp;N$2&amp;$H3,$A$3:$A$1000,"&lt;="&amp;EOMONTH(N$2&amp;$H3,0))/2.20462)</f>
        <v>32515.75</v>
      </c>
      <c r="O24" s="56">
        <f t="shared" ref="O24:O29" si="20">IF($D$3="lb",SUMIFS($F$3:$F$1000,$B$3:$B$1000,IF($I$1="","&lt;&gt;"&amp;$I$1,$I$1),$A$3:$A$1000,"&gt;="&amp;O$2&amp;$H3,$A$3:$A$1000,"&lt;="&amp;EOMONTH(O$2&amp;$H3,0)),SUMIFS($F$3:$F$1000,$B$3:$B$1000,IF($I$1="","&lt;&gt;"&amp;$I$1,$I$1),$A$3:$A$1000,"&gt;="&amp;O$2&amp;$H3,$A$3:$A$1000,"&lt;="&amp;EOMONTH(O$2&amp;$H3,0))/2.20462)</f>
        <v>17784.75</v>
      </c>
      <c r="P24" s="56">
        <f t="shared" ref="P24:P29" si="21">IF($D$3="lb",SUMIFS($F$3:$F$1000,$B$3:$B$1000,IF($I$1="","&lt;&gt;"&amp;$I$1,$I$1),$A$3:$A$1000,"&gt;="&amp;P$2&amp;$H3,$A$3:$A$1000,"&lt;="&amp;EOMONTH(P$2&amp;$H3,0)),SUMIFS($F$3:$F$1000,$B$3:$B$1000,IF($I$1="","&lt;&gt;"&amp;$I$1,$I$1),$A$3:$A$1000,"&gt;="&amp;P$2&amp;$H3,$A$3:$A$1000,"&lt;="&amp;EOMONTH(P$2&amp;$H3,0))/2.20462)</f>
        <v>21915.25</v>
      </c>
      <c r="Q24" s="56">
        <f t="shared" ref="Q24:Q29" si="22">IF($D$3="lb",SUMIFS($F$3:$F$1000,$B$3:$B$1000,IF($I$1="","&lt;&gt;"&amp;$I$1,$I$1),$A$3:$A$1000,"&gt;="&amp;Q$2&amp;$H3,$A$3:$A$1000,"&lt;="&amp;EOMONTH(Q$2&amp;$H3,0)),SUMIFS($F$3:$F$1000,$B$3:$B$1000,IF($I$1="","&lt;&gt;"&amp;$I$1,$I$1),$A$3:$A$1000,"&gt;="&amp;Q$2&amp;$H3,$A$3:$A$1000,"&lt;="&amp;EOMONTH(Q$2&amp;$H3,0))/2.20462)</f>
        <v>24684.75</v>
      </c>
      <c r="R24" s="56">
        <f t="shared" ref="R24:R29" si="23">IF($D$3="lb",SUMIFS($F$3:$F$1000,$B$3:$B$1000,IF($I$1="","&lt;&gt;"&amp;$I$1,$I$1),$A$3:$A$1000,"&gt;="&amp;R$2&amp;$H3,$A$3:$A$1000,"&lt;="&amp;EOMONTH(R$2&amp;$H3,0)),SUMIFS($F$3:$F$1000,$B$3:$B$1000,IF($I$1="","&lt;&gt;"&amp;$I$1,$I$1),$A$3:$A$1000,"&gt;="&amp;R$2&amp;$H3,$A$3:$A$1000,"&lt;="&amp;EOMONTH(R$2&amp;$H3,0))/2.20462)</f>
        <v>65386.25</v>
      </c>
      <c r="S24" s="56">
        <f t="shared" ref="S24:S29" si="24">IF($D$3="lb",SUMIFS($F$3:$F$1000,$B$3:$B$1000,IF($I$1="","&lt;&gt;"&amp;$I$1,$I$1),$A$3:$A$1000,"&gt;="&amp;S$2&amp;$H3,$A$3:$A$1000,"&lt;="&amp;EOMONTH(S$2&amp;$H3,0)),SUMIFS($F$3:$F$1000,$B$3:$B$1000,IF($I$1="","&lt;&gt;"&amp;$I$1,$I$1),$A$3:$A$1000,"&gt;="&amp;S$2&amp;$H3,$A$3:$A$1000,"&lt;="&amp;EOMONTH(S$2&amp;$H3,0))/2.20462)</f>
        <v>39349.75</v>
      </c>
      <c r="T24" s="56">
        <f t="shared" ref="T24:T29" si="25">IF($D$3="lb",SUMIFS($F$3:$F$1000,$B$3:$B$1000,IF($I$1="","&lt;&gt;"&amp;$I$1,$I$1),$A$3:$A$1000,"&gt;="&amp;T$2&amp;$H3,$A$3:$A$1000,"&lt;="&amp;EOMONTH(T$2&amp;$H3,0)),SUMIFS($F$3:$F$1000,$B$3:$B$1000,IF($I$1="","&lt;&gt;"&amp;$I$1,$I$1),$A$3:$A$1000,"&gt;="&amp;T$2&amp;$H3,$A$3:$A$1000,"&lt;="&amp;EOMONTH(T$2&amp;$H3,0))/2.20462)</f>
        <v>89209.25</v>
      </c>
      <c r="U24" s="57">
        <f t="shared" ref="U24:U29" si="26">SUM(I24:T24)</f>
        <v>382368.95</v>
      </c>
    </row>
    <row r="25" spans="1:22" ht="18.75" x14ac:dyDescent="0.25">
      <c r="A25" s="6">
        <v>44070</v>
      </c>
      <c r="B25" t="s">
        <v>44</v>
      </c>
      <c r="C25">
        <f t="shared" si="0"/>
        <v>1083</v>
      </c>
      <c r="D25" t="s">
        <v>5</v>
      </c>
      <c r="E25">
        <v>5.75</v>
      </c>
      <c r="F25">
        <v>6227.25</v>
      </c>
      <c r="H25" s="23">
        <v>2021</v>
      </c>
      <c r="I25" s="58">
        <f t="shared" si="14"/>
        <v>37492.1</v>
      </c>
      <c r="J25" s="59">
        <f t="shared" si="15"/>
        <v>19766.5</v>
      </c>
      <c r="K25" s="59">
        <f t="shared" si="16"/>
        <v>52912.25</v>
      </c>
      <c r="L25" s="59">
        <f t="shared" si="17"/>
        <v>55690.5</v>
      </c>
      <c r="M25" s="59">
        <f t="shared" si="18"/>
        <v>6946.25</v>
      </c>
      <c r="N25" s="59">
        <f t="shared" si="19"/>
        <v>17915.25</v>
      </c>
      <c r="O25" s="59">
        <f t="shared" si="20"/>
        <v>28127</v>
      </c>
      <c r="P25" s="59">
        <f t="shared" si="21"/>
        <v>13215.25</v>
      </c>
      <c r="Q25" s="59">
        <f t="shared" si="22"/>
        <v>29844.55</v>
      </c>
      <c r="R25" s="59">
        <f t="shared" si="23"/>
        <v>12248.75</v>
      </c>
      <c r="S25" s="59">
        <f t="shared" si="24"/>
        <v>50743.45</v>
      </c>
      <c r="T25" s="60">
        <f t="shared" si="25"/>
        <v>2662.65</v>
      </c>
      <c r="U25" s="61">
        <f t="shared" si="26"/>
        <v>327564.50000000006</v>
      </c>
    </row>
    <row r="26" spans="1:22" ht="18.75" x14ac:dyDescent="0.25">
      <c r="A26" s="6">
        <v>44070</v>
      </c>
      <c r="B26" t="s">
        <v>49</v>
      </c>
      <c r="C26">
        <f t="shared" si="0"/>
        <v>1618</v>
      </c>
      <c r="D26" t="s">
        <v>5</v>
      </c>
      <c r="E26">
        <v>6</v>
      </c>
      <c r="F26">
        <v>9708</v>
      </c>
      <c r="H26" s="23">
        <v>2022</v>
      </c>
      <c r="I26" s="58">
        <f t="shared" si="14"/>
        <v>102180.25</v>
      </c>
      <c r="J26" s="59">
        <f t="shared" si="15"/>
        <v>17688.5</v>
      </c>
      <c r="K26" s="59">
        <f t="shared" si="16"/>
        <v>52909.5</v>
      </c>
      <c r="L26" s="59">
        <f t="shared" si="17"/>
        <v>32390.75</v>
      </c>
      <c r="M26" s="59">
        <f t="shared" si="18"/>
        <v>16193.25</v>
      </c>
      <c r="N26" s="59">
        <f t="shared" si="19"/>
        <v>9486</v>
      </c>
      <c r="O26" s="59">
        <f t="shared" si="20"/>
        <v>2007</v>
      </c>
      <c r="P26" s="59">
        <f t="shared" si="21"/>
        <v>117101</v>
      </c>
      <c r="Q26" s="59">
        <f t="shared" si="22"/>
        <v>1853</v>
      </c>
      <c r="R26" s="59">
        <f t="shared" si="23"/>
        <v>86335.7</v>
      </c>
      <c r="S26" s="59">
        <f t="shared" si="24"/>
        <v>92154.05</v>
      </c>
      <c r="T26" s="60">
        <f t="shared" si="25"/>
        <v>22379</v>
      </c>
      <c r="U26" s="61">
        <f t="shared" si="26"/>
        <v>552678</v>
      </c>
    </row>
    <row r="27" spans="1:22" ht="18.75" x14ac:dyDescent="0.25">
      <c r="A27" s="6">
        <v>44083</v>
      </c>
      <c r="B27" t="s">
        <v>44</v>
      </c>
      <c r="C27">
        <f t="shared" si="0"/>
        <v>4171</v>
      </c>
      <c r="D27" t="s">
        <v>5</v>
      </c>
      <c r="E27">
        <v>5.75</v>
      </c>
      <c r="F27">
        <v>23983.25</v>
      </c>
      <c r="H27" s="23">
        <v>2023</v>
      </c>
      <c r="I27" s="58">
        <f t="shared" si="14"/>
        <v>121630.75</v>
      </c>
      <c r="J27" s="59">
        <f t="shared" si="15"/>
        <v>0</v>
      </c>
      <c r="K27" s="59">
        <f t="shared" si="16"/>
        <v>89459.43</v>
      </c>
      <c r="L27" s="59">
        <f t="shared" si="17"/>
        <v>19899.5</v>
      </c>
      <c r="M27" s="59">
        <f t="shared" si="18"/>
        <v>83134</v>
      </c>
      <c r="N27" s="59">
        <f t="shared" si="19"/>
        <v>46227.5</v>
      </c>
      <c r="O27" s="59">
        <f t="shared" si="20"/>
        <v>78585.25</v>
      </c>
      <c r="P27" s="59">
        <f t="shared" si="21"/>
        <v>12449.1</v>
      </c>
      <c r="Q27" s="59">
        <f t="shared" si="22"/>
        <v>86813.55</v>
      </c>
      <c r="R27" s="59">
        <f t="shared" si="23"/>
        <v>3739.28</v>
      </c>
      <c r="S27" s="59">
        <f t="shared" si="24"/>
        <v>28552.5</v>
      </c>
      <c r="T27" s="60">
        <f t="shared" si="25"/>
        <v>12143.75</v>
      </c>
      <c r="U27" s="61">
        <f t="shared" si="26"/>
        <v>582634.61</v>
      </c>
    </row>
    <row r="28" spans="1:22" ht="18.75" x14ac:dyDescent="0.25">
      <c r="A28" s="6">
        <v>44095</v>
      </c>
      <c r="B28" t="s">
        <v>52</v>
      </c>
      <c r="C28">
        <f t="shared" si="0"/>
        <v>122</v>
      </c>
      <c r="D28" t="s">
        <v>5</v>
      </c>
      <c r="E28">
        <v>5.75</v>
      </c>
      <c r="F28">
        <v>701.5</v>
      </c>
      <c r="H28" s="23">
        <v>2024</v>
      </c>
      <c r="I28" s="58">
        <f t="shared" si="14"/>
        <v>48164.55</v>
      </c>
      <c r="J28" s="59">
        <f t="shared" si="15"/>
        <v>11370</v>
      </c>
      <c r="K28" s="59">
        <f t="shared" si="16"/>
        <v>20452.5</v>
      </c>
      <c r="L28" s="59">
        <f t="shared" si="17"/>
        <v>4193.25</v>
      </c>
      <c r="M28" s="59">
        <f t="shared" si="18"/>
        <v>28042.5</v>
      </c>
      <c r="N28" s="59">
        <f t="shared" si="19"/>
        <v>25360.5</v>
      </c>
      <c r="O28" s="59">
        <f t="shared" si="20"/>
        <v>11298</v>
      </c>
      <c r="P28" s="59">
        <f t="shared" si="21"/>
        <v>63947.020000000004</v>
      </c>
      <c r="Q28" s="59">
        <f t="shared" si="22"/>
        <v>80038.95</v>
      </c>
      <c r="R28" s="59">
        <f t="shared" si="23"/>
        <v>99451.55</v>
      </c>
      <c r="S28" s="59">
        <f t="shared" si="24"/>
        <v>37330.5</v>
      </c>
      <c r="T28" s="60">
        <f t="shared" si="25"/>
        <v>20329</v>
      </c>
      <c r="U28" s="61">
        <f t="shared" si="26"/>
        <v>449978.32</v>
      </c>
    </row>
    <row r="29" spans="1:22" ht="18.75" x14ac:dyDescent="0.25">
      <c r="A29" s="6">
        <v>44105</v>
      </c>
      <c r="B29" t="s">
        <v>51</v>
      </c>
      <c r="C29">
        <f t="shared" si="0"/>
        <v>860</v>
      </c>
      <c r="D29" t="s">
        <v>5</v>
      </c>
      <c r="E29">
        <v>5.75</v>
      </c>
      <c r="F29">
        <v>4945</v>
      </c>
      <c r="H29" s="24">
        <v>2025</v>
      </c>
      <c r="I29" s="62">
        <f t="shared" si="14"/>
        <v>0</v>
      </c>
      <c r="J29" s="63">
        <f t="shared" si="15"/>
        <v>0</v>
      </c>
      <c r="K29" s="63">
        <f t="shared" si="16"/>
        <v>0</v>
      </c>
      <c r="L29" s="63">
        <f t="shared" si="17"/>
        <v>0</v>
      </c>
      <c r="M29" s="63">
        <f t="shared" si="18"/>
        <v>0</v>
      </c>
      <c r="N29" s="63">
        <f t="shared" si="19"/>
        <v>0</v>
      </c>
      <c r="O29" s="63">
        <f t="shared" si="20"/>
        <v>0</v>
      </c>
      <c r="P29" s="63">
        <f t="shared" si="21"/>
        <v>0</v>
      </c>
      <c r="Q29" s="63">
        <f t="shared" si="22"/>
        <v>0</v>
      </c>
      <c r="R29" s="63">
        <f t="shared" si="23"/>
        <v>0</v>
      </c>
      <c r="S29" s="63">
        <f t="shared" si="24"/>
        <v>0</v>
      </c>
      <c r="T29" s="64">
        <f t="shared" si="25"/>
        <v>0</v>
      </c>
      <c r="U29" s="65">
        <f t="shared" si="26"/>
        <v>0</v>
      </c>
    </row>
    <row r="30" spans="1:22" ht="19.5" thickBot="1" x14ac:dyDescent="0.3">
      <c r="A30" s="6">
        <v>44105</v>
      </c>
      <c r="B30" t="s">
        <v>45</v>
      </c>
      <c r="C30">
        <f t="shared" si="0"/>
        <v>1134</v>
      </c>
      <c r="D30" t="s">
        <v>5</v>
      </c>
      <c r="E30">
        <v>5.75</v>
      </c>
      <c r="F30">
        <v>6520.5</v>
      </c>
      <c r="H30" s="36" t="s">
        <v>26</v>
      </c>
      <c r="I30" s="66">
        <f>SUM(Table47[January])</f>
        <v>309467.65000000002</v>
      </c>
      <c r="J30" s="66">
        <f>SUM(Table47[February])</f>
        <v>91940.25</v>
      </c>
      <c r="K30" s="66">
        <f>SUM(Table47[March])</f>
        <v>226788.68</v>
      </c>
      <c r="L30" s="66">
        <f>SUM(Table47[April])</f>
        <v>123254.05</v>
      </c>
      <c r="M30" s="66">
        <f>SUM(Table47[May])</f>
        <v>160588.9</v>
      </c>
      <c r="N30" s="66">
        <f>SUM(Table47[June])</f>
        <v>131505</v>
      </c>
      <c r="O30" s="66">
        <f>SUM(Table47[July])</f>
        <v>137802</v>
      </c>
      <c r="P30" s="66">
        <f>SUM(Table47[August])</f>
        <v>228627.62</v>
      </c>
      <c r="Q30" s="66">
        <f>SUM(Table47[September])</f>
        <v>223234.8</v>
      </c>
      <c r="R30" s="66">
        <f>SUM(Table47[October])</f>
        <v>267161.53000000003</v>
      </c>
      <c r="S30" s="66">
        <f>SUM(Table47[November])</f>
        <v>248130.25</v>
      </c>
      <c r="T30" s="71">
        <f>SUM(Table47[December])</f>
        <v>146723.65</v>
      </c>
      <c r="U30" s="71">
        <f>SUBTOTAL(109,Table47[TOTALS:])</f>
        <v>2295224.38</v>
      </c>
    </row>
    <row r="31" spans="1:22" ht="19.5" thickTop="1" x14ac:dyDescent="0.25">
      <c r="A31" s="6">
        <v>44105</v>
      </c>
      <c r="B31" t="s">
        <v>50</v>
      </c>
      <c r="C31">
        <f t="shared" si="0"/>
        <v>1885</v>
      </c>
      <c r="D31" t="s">
        <v>5</v>
      </c>
      <c r="E31">
        <v>6</v>
      </c>
      <c r="F31">
        <v>11310</v>
      </c>
      <c r="H31" s="39" t="s">
        <v>30</v>
      </c>
      <c r="I31" s="67" cm="1">
        <f t="array" ref="I31">SUMPRODUCT($F$3:$F$1000,--(MONTH($A$3:$A$1000)=1))</f>
        <v>309467.65000000002</v>
      </c>
      <c r="J31" s="67" cm="1">
        <f t="array" ref="J31">SUMPRODUCT($F$3:$F$1000,--(MONTH($A$3:$A$1000)=2))</f>
        <v>91940.25</v>
      </c>
      <c r="K31" s="67" cm="1">
        <f t="array" ref="K31">SUMPRODUCT($F$3:$F$1000,--(MONTH($A$3:$A$1000)=3))</f>
        <v>226788.68</v>
      </c>
      <c r="L31" s="67" cm="1">
        <f t="array" ref="L31">SUMPRODUCT($F$3:$F$1000,--(MONTH($A$3:$A$1000)=4))</f>
        <v>123254.05</v>
      </c>
      <c r="M31" s="67" cm="1">
        <f t="array" ref="M31">SUMPRODUCT($F$3:$F$1000,--(MONTH($A$3:$A$1000)=5))</f>
        <v>160588.9</v>
      </c>
      <c r="N31" s="67" cm="1">
        <f t="array" ref="N31">SUMPRODUCT($F$3:$F$1000,--(MONTH($A$3:$A$1000)=6))</f>
        <v>131505</v>
      </c>
      <c r="O31" s="67" cm="1">
        <f t="array" ref="O31">SUMPRODUCT($F$3:$F$1000,--(MONTH($A$3:$A$1000)=7))</f>
        <v>137802</v>
      </c>
      <c r="P31" s="67" cm="1">
        <f t="array" ref="P31">SUMPRODUCT($F$3:$F$1000,--(MONTH($A$3:$A$1000)=8))</f>
        <v>228627.62</v>
      </c>
      <c r="Q31" s="67" cm="1">
        <f t="array" ref="Q31">SUMPRODUCT($F$3:$F$1000,--(MONTH($A$3:$A$1000)=9))</f>
        <v>223234.80000000002</v>
      </c>
      <c r="R31" s="67" cm="1">
        <f t="array" ref="R31">SUMPRODUCT($F$3:$F$1000,--(MONTH($A$3:$A$1000)=10))</f>
        <v>267161.53000000003</v>
      </c>
      <c r="S31" s="67" cm="1">
        <f t="array" ref="S31">SUMPRODUCT($F$3:$F$1000,--(MONTH($A$3:$A$1000)=11))</f>
        <v>248130.25</v>
      </c>
      <c r="T31" s="68" cm="1">
        <f t="array" ref="T31">SUMPRODUCT($F$3:$F$1000,--(MONTH($A$3:$A$1000)=12))</f>
        <v>146723.65</v>
      </c>
      <c r="U31" s="74">
        <f>SUM(I31:T31)</f>
        <v>2295224.3800000004</v>
      </c>
    </row>
    <row r="32" spans="1:22" ht="37.5" x14ac:dyDescent="0.25">
      <c r="A32" s="6">
        <v>44111</v>
      </c>
      <c r="B32" t="s">
        <v>44</v>
      </c>
      <c r="C32">
        <f t="shared" si="0"/>
        <v>3419</v>
      </c>
      <c r="D32" t="s">
        <v>5</v>
      </c>
      <c r="E32">
        <v>5.75</v>
      </c>
      <c r="F32">
        <v>19659.25</v>
      </c>
      <c r="H32" s="41" t="s">
        <v>31</v>
      </c>
      <c r="I32" s="77" t="s">
        <v>35</v>
      </c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72"/>
      <c r="U32" s="75"/>
      <c r="V32" s="21" t="s">
        <v>40</v>
      </c>
    </row>
    <row r="33" spans="1:22" ht="37.5" x14ac:dyDescent="0.25">
      <c r="A33" s="6">
        <v>44130</v>
      </c>
      <c r="B33" t="s">
        <v>53</v>
      </c>
      <c r="C33">
        <f t="shared" si="0"/>
        <v>165</v>
      </c>
      <c r="D33" t="s">
        <v>5</v>
      </c>
      <c r="E33">
        <v>5.5</v>
      </c>
      <c r="F33">
        <v>907.5</v>
      </c>
      <c r="H33" s="41" t="s">
        <v>33</v>
      </c>
      <c r="I33" s="77" t="s">
        <v>36</v>
      </c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72"/>
      <c r="U33" s="75"/>
      <c r="V33" s="21" t="s">
        <v>39</v>
      </c>
    </row>
    <row r="34" spans="1:22" ht="37.5" x14ac:dyDescent="0.25">
      <c r="A34" s="6">
        <v>44131</v>
      </c>
      <c r="B34" t="s">
        <v>44</v>
      </c>
      <c r="C34">
        <f t="shared" si="0"/>
        <v>3674</v>
      </c>
      <c r="D34" t="s">
        <v>5</v>
      </c>
      <c r="E34">
        <v>6</v>
      </c>
      <c r="F34">
        <v>22044</v>
      </c>
      <c r="H34" s="41" t="s">
        <v>32</v>
      </c>
      <c r="I34" s="77" t="s">
        <v>37</v>
      </c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72"/>
      <c r="U34" s="75"/>
      <c r="V34" s="21" t="s">
        <v>41</v>
      </c>
    </row>
    <row r="35" spans="1:22" ht="38.25" thickBot="1" x14ac:dyDescent="0.3">
      <c r="A35" s="6">
        <v>44144</v>
      </c>
      <c r="B35" t="s">
        <v>52</v>
      </c>
      <c r="C35">
        <f t="shared" si="0"/>
        <v>31</v>
      </c>
      <c r="D35" t="s">
        <v>5</v>
      </c>
      <c r="E35">
        <v>5.75</v>
      </c>
      <c r="F35">
        <v>178.25</v>
      </c>
      <c r="H35" s="44" t="s">
        <v>34</v>
      </c>
      <c r="I35" s="78" t="s">
        <v>38</v>
      </c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3"/>
      <c r="U35" s="76"/>
      <c r="V35" s="21" t="s">
        <v>42</v>
      </c>
    </row>
    <row r="36" spans="1:22" ht="15.75" thickTop="1" x14ac:dyDescent="0.25">
      <c r="A36" s="6">
        <v>44144</v>
      </c>
      <c r="B36" t="s">
        <v>52</v>
      </c>
      <c r="C36">
        <f t="shared" si="0"/>
        <v>632</v>
      </c>
      <c r="D36" t="s">
        <v>5</v>
      </c>
      <c r="E36">
        <v>5.75</v>
      </c>
      <c r="F36">
        <v>3634</v>
      </c>
    </row>
    <row r="37" spans="1:22" x14ac:dyDescent="0.25">
      <c r="A37" s="6">
        <v>44165</v>
      </c>
      <c r="B37" t="s">
        <v>44</v>
      </c>
      <c r="C37">
        <f t="shared" si="0"/>
        <v>201</v>
      </c>
      <c r="D37" t="s">
        <v>5</v>
      </c>
      <c r="E37">
        <v>6.25</v>
      </c>
      <c r="F37">
        <v>1256.25</v>
      </c>
      <c r="H37" s="21"/>
    </row>
    <row r="38" spans="1:22" x14ac:dyDescent="0.25">
      <c r="A38" s="6">
        <v>44165</v>
      </c>
      <c r="B38" t="s">
        <v>44</v>
      </c>
      <c r="C38">
        <f t="shared" si="0"/>
        <v>5485</v>
      </c>
      <c r="D38" t="s">
        <v>5</v>
      </c>
      <c r="E38">
        <v>6.25</v>
      </c>
      <c r="F38">
        <v>34281.25</v>
      </c>
    </row>
    <row r="39" spans="1:22" x14ac:dyDescent="0.25">
      <c r="A39" s="6">
        <v>44168</v>
      </c>
      <c r="B39" t="s">
        <v>48</v>
      </c>
      <c r="C39">
        <f t="shared" si="0"/>
        <v>3985</v>
      </c>
      <c r="D39" t="s">
        <v>5</v>
      </c>
      <c r="E39">
        <v>6.25</v>
      </c>
      <c r="F39">
        <v>24906.25</v>
      </c>
    </row>
    <row r="40" spans="1:22" x14ac:dyDescent="0.25">
      <c r="A40" s="6">
        <v>44172</v>
      </c>
      <c r="B40" t="s">
        <v>54</v>
      </c>
      <c r="C40">
        <f t="shared" si="0"/>
        <v>100</v>
      </c>
      <c r="D40" t="s">
        <v>5</v>
      </c>
      <c r="E40">
        <v>6</v>
      </c>
      <c r="F40">
        <v>600</v>
      </c>
    </row>
    <row r="41" spans="1:22" x14ac:dyDescent="0.25">
      <c r="A41" s="6">
        <v>44180</v>
      </c>
      <c r="B41" t="s">
        <v>45</v>
      </c>
      <c r="C41">
        <f t="shared" si="0"/>
        <v>2742.0018147280189</v>
      </c>
      <c r="D41" t="s">
        <v>5</v>
      </c>
      <c r="E41">
        <v>6.1276400000000004</v>
      </c>
      <c r="F41">
        <v>16802</v>
      </c>
    </row>
    <row r="42" spans="1:22" x14ac:dyDescent="0.25">
      <c r="A42" s="6">
        <v>44180</v>
      </c>
      <c r="B42" t="s">
        <v>51</v>
      </c>
      <c r="C42">
        <f t="shared" si="0"/>
        <v>2973</v>
      </c>
      <c r="D42" t="s">
        <v>5</v>
      </c>
      <c r="E42">
        <v>5.75</v>
      </c>
      <c r="F42">
        <v>17094.75</v>
      </c>
    </row>
    <row r="43" spans="1:22" x14ac:dyDescent="0.25">
      <c r="A43" s="6">
        <v>44193</v>
      </c>
      <c r="B43" t="s">
        <v>44</v>
      </c>
      <c r="C43">
        <f t="shared" si="0"/>
        <v>4429</v>
      </c>
      <c r="D43" t="s">
        <v>5</v>
      </c>
      <c r="E43">
        <v>6.25</v>
      </c>
      <c r="F43">
        <v>27681.25</v>
      </c>
    </row>
    <row r="44" spans="1:22" x14ac:dyDescent="0.25">
      <c r="A44" s="6">
        <v>44195</v>
      </c>
      <c r="B44" t="s">
        <v>44</v>
      </c>
      <c r="C44">
        <f t="shared" si="0"/>
        <v>340</v>
      </c>
      <c r="D44" t="s">
        <v>5</v>
      </c>
      <c r="E44">
        <v>6.25</v>
      </c>
      <c r="F44">
        <v>2125</v>
      </c>
    </row>
    <row r="45" spans="1:22" x14ac:dyDescent="0.25">
      <c r="A45" s="6">
        <v>44210</v>
      </c>
      <c r="B45" t="s">
        <v>55</v>
      </c>
      <c r="C45">
        <f t="shared" si="0"/>
        <v>58</v>
      </c>
      <c r="D45" t="s">
        <v>5</v>
      </c>
      <c r="E45">
        <v>5.5</v>
      </c>
      <c r="F45">
        <v>319</v>
      </c>
    </row>
    <row r="46" spans="1:22" x14ac:dyDescent="0.25">
      <c r="A46" s="6">
        <v>44210</v>
      </c>
      <c r="B46" t="s">
        <v>51</v>
      </c>
      <c r="C46">
        <f t="shared" si="0"/>
        <v>2528</v>
      </c>
      <c r="D46" t="s">
        <v>5</v>
      </c>
      <c r="E46">
        <v>6.25</v>
      </c>
      <c r="F46">
        <v>15800</v>
      </c>
    </row>
    <row r="47" spans="1:22" x14ac:dyDescent="0.25">
      <c r="A47" s="6">
        <v>44210</v>
      </c>
      <c r="B47" t="s">
        <v>44</v>
      </c>
      <c r="C47">
        <f t="shared" si="0"/>
        <v>3213.9999999999995</v>
      </c>
      <c r="D47" t="s">
        <v>5</v>
      </c>
      <c r="E47">
        <v>6.65</v>
      </c>
      <c r="F47">
        <v>21373.1</v>
      </c>
    </row>
    <row r="48" spans="1:22" x14ac:dyDescent="0.25">
      <c r="A48" s="6">
        <v>44236</v>
      </c>
      <c r="B48" t="s">
        <v>50</v>
      </c>
      <c r="C48">
        <f t="shared" si="0"/>
        <v>607</v>
      </c>
      <c r="D48" t="s">
        <v>5</v>
      </c>
      <c r="E48">
        <v>7</v>
      </c>
      <c r="F48">
        <v>4249</v>
      </c>
    </row>
    <row r="49" spans="1:6" x14ac:dyDescent="0.25">
      <c r="A49" s="6">
        <v>44236</v>
      </c>
      <c r="B49" t="s">
        <v>51</v>
      </c>
      <c r="C49">
        <f t="shared" si="0"/>
        <v>801</v>
      </c>
      <c r="D49" t="s">
        <v>5</v>
      </c>
      <c r="E49">
        <v>6.5</v>
      </c>
      <c r="F49">
        <v>5206.5</v>
      </c>
    </row>
    <row r="50" spans="1:6" x14ac:dyDescent="0.25">
      <c r="A50" s="6">
        <v>44236</v>
      </c>
      <c r="B50" t="s">
        <v>45</v>
      </c>
      <c r="C50">
        <f t="shared" si="0"/>
        <v>1474.0002144312211</v>
      </c>
      <c r="D50" t="s">
        <v>5</v>
      </c>
      <c r="E50">
        <v>6.9952500000000004</v>
      </c>
      <c r="F50">
        <v>10311</v>
      </c>
    </row>
    <row r="51" spans="1:6" x14ac:dyDescent="0.25">
      <c r="A51" s="6">
        <v>44278</v>
      </c>
      <c r="B51" t="s">
        <v>48</v>
      </c>
      <c r="C51">
        <f t="shared" si="0"/>
        <v>277</v>
      </c>
      <c r="D51" t="s">
        <v>5</v>
      </c>
      <c r="E51">
        <v>7</v>
      </c>
      <c r="F51">
        <v>1939</v>
      </c>
    </row>
    <row r="52" spans="1:6" x14ac:dyDescent="0.25">
      <c r="A52" s="6">
        <v>44278</v>
      </c>
      <c r="B52" t="s">
        <v>56</v>
      </c>
      <c r="C52">
        <f t="shared" si="0"/>
        <v>388.00007092156665</v>
      </c>
      <c r="D52" t="s">
        <v>5</v>
      </c>
      <c r="E52">
        <v>6.7680400000000001</v>
      </c>
      <c r="F52">
        <v>2626</v>
      </c>
    </row>
    <row r="53" spans="1:6" x14ac:dyDescent="0.25">
      <c r="A53" s="6">
        <v>44278</v>
      </c>
      <c r="B53" t="s">
        <v>45</v>
      </c>
      <c r="C53">
        <f t="shared" si="0"/>
        <v>1247</v>
      </c>
      <c r="D53" t="s">
        <v>5</v>
      </c>
      <c r="E53">
        <v>7.25</v>
      </c>
      <c r="F53">
        <v>9040.75</v>
      </c>
    </row>
    <row r="54" spans="1:6" x14ac:dyDescent="0.25">
      <c r="A54" s="6">
        <v>44278</v>
      </c>
      <c r="B54" t="s">
        <v>51</v>
      </c>
      <c r="C54">
        <f t="shared" si="0"/>
        <v>1832</v>
      </c>
      <c r="D54" t="s">
        <v>5</v>
      </c>
      <c r="E54">
        <v>7</v>
      </c>
      <c r="F54">
        <v>12824</v>
      </c>
    </row>
    <row r="55" spans="1:6" x14ac:dyDescent="0.25">
      <c r="A55" s="6">
        <v>44278</v>
      </c>
      <c r="B55" t="s">
        <v>44</v>
      </c>
      <c r="C55">
        <f t="shared" si="0"/>
        <v>3531</v>
      </c>
      <c r="D55" t="s">
        <v>5</v>
      </c>
      <c r="E55">
        <v>7.5</v>
      </c>
      <c r="F55">
        <v>26482.5</v>
      </c>
    </row>
    <row r="56" spans="1:6" x14ac:dyDescent="0.25">
      <c r="A56" s="6">
        <v>44298</v>
      </c>
      <c r="B56" t="s">
        <v>50</v>
      </c>
      <c r="C56">
        <f t="shared" si="0"/>
        <v>600</v>
      </c>
      <c r="D56" t="s">
        <v>5</v>
      </c>
      <c r="E56">
        <v>7</v>
      </c>
      <c r="F56">
        <v>4200</v>
      </c>
    </row>
    <row r="57" spans="1:6" x14ac:dyDescent="0.25">
      <c r="A57" s="6">
        <v>44298</v>
      </c>
      <c r="B57" t="s">
        <v>51</v>
      </c>
      <c r="C57">
        <f t="shared" si="0"/>
        <v>1066</v>
      </c>
      <c r="D57" t="s">
        <v>5</v>
      </c>
      <c r="E57">
        <v>7.25</v>
      </c>
      <c r="F57">
        <v>7728.5</v>
      </c>
    </row>
    <row r="58" spans="1:6" x14ac:dyDescent="0.25">
      <c r="A58" s="6">
        <v>44298</v>
      </c>
      <c r="B58" t="s">
        <v>44</v>
      </c>
      <c r="C58">
        <f t="shared" si="0"/>
        <v>1133</v>
      </c>
      <c r="D58" t="s">
        <v>5</v>
      </c>
      <c r="E58">
        <v>7.5</v>
      </c>
      <c r="F58">
        <v>8497.5</v>
      </c>
    </row>
    <row r="59" spans="1:6" x14ac:dyDescent="0.25">
      <c r="A59" s="6">
        <v>44305</v>
      </c>
      <c r="B59" t="s">
        <v>44</v>
      </c>
      <c r="C59">
        <f t="shared" si="0"/>
        <v>3295</v>
      </c>
      <c r="D59" t="s">
        <v>5</v>
      </c>
      <c r="E59">
        <v>7.5</v>
      </c>
      <c r="F59">
        <v>24712.5</v>
      </c>
    </row>
    <row r="60" spans="1:6" x14ac:dyDescent="0.25">
      <c r="A60" s="6">
        <v>44307</v>
      </c>
      <c r="B60" t="s">
        <v>52</v>
      </c>
      <c r="C60">
        <f t="shared" si="0"/>
        <v>480</v>
      </c>
      <c r="D60" t="s">
        <v>5</v>
      </c>
      <c r="E60">
        <v>6.5</v>
      </c>
      <c r="F60">
        <v>3120</v>
      </c>
    </row>
    <row r="61" spans="1:6" x14ac:dyDescent="0.25">
      <c r="A61" s="6">
        <v>44312</v>
      </c>
      <c r="B61" t="s">
        <v>51</v>
      </c>
      <c r="C61">
        <f t="shared" si="0"/>
        <v>302</v>
      </c>
      <c r="D61" t="s">
        <v>5</v>
      </c>
      <c r="E61">
        <v>7.25</v>
      </c>
      <c r="F61">
        <v>2189.5</v>
      </c>
    </row>
    <row r="62" spans="1:6" x14ac:dyDescent="0.25">
      <c r="A62" s="6">
        <v>44312</v>
      </c>
      <c r="B62" t="s">
        <v>44</v>
      </c>
      <c r="C62">
        <f t="shared" si="0"/>
        <v>699</v>
      </c>
      <c r="D62" t="s">
        <v>5</v>
      </c>
      <c r="E62">
        <v>7.5</v>
      </c>
      <c r="F62">
        <v>5242.5</v>
      </c>
    </row>
    <row r="63" spans="1:6" x14ac:dyDescent="0.25">
      <c r="A63" s="6">
        <v>44327</v>
      </c>
      <c r="B63" t="s">
        <v>44</v>
      </c>
      <c r="C63">
        <f t="shared" si="0"/>
        <v>127</v>
      </c>
      <c r="D63" t="s">
        <v>5</v>
      </c>
      <c r="E63">
        <v>7.5</v>
      </c>
      <c r="F63">
        <v>952.5</v>
      </c>
    </row>
    <row r="64" spans="1:6" x14ac:dyDescent="0.25">
      <c r="A64" s="6">
        <v>44327</v>
      </c>
      <c r="B64" t="s">
        <v>51</v>
      </c>
      <c r="C64">
        <f t="shared" si="0"/>
        <v>153</v>
      </c>
      <c r="D64" t="s">
        <v>5</v>
      </c>
      <c r="E64">
        <v>7.25</v>
      </c>
      <c r="F64">
        <v>1109.25</v>
      </c>
    </row>
    <row r="65" spans="1:6" x14ac:dyDescent="0.25">
      <c r="A65" s="6">
        <v>44340</v>
      </c>
      <c r="B65" t="s">
        <v>44</v>
      </c>
      <c r="C65">
        <f t="shared" si="0"/>
        <v>456</v>
      </c>
      <c r="D65" t="s">
        <v>5</v>
      </c>
      <c r="E65">
        <v>7.5</v>
      </c>
      <c r="F65">
        <v>3420</v>
      </c>
    </row>
    <row r="66" spans="1:6" x14ac:dyDescent="0.25">
      <c r="A66" s="6">
        <v>44343</v>
      </c>
      <c r="B66" t="s">
        <v>51</v>
      </c>
      <c r="C66">
        <f t="shared" si="0"/>
        <v>202</v>
      </c>
      <c r="D66" t="s">
        <v>5</v>
      </c>
      <c r="E66">
        <v>7.25</v>
      </c>
      <c r="F66">
        <v>1464.5</v>
      </c>
    </row>
    <row r="67" spans="1:6" x14ac:dyDescent="0.25">
      <c r="A67" s="6">
        <v>44348</v>
      </c>
      <c r="B67" t="s">
        <v>52</v>
      </c>
      <c r="C67">
        <f t="shared" ref="C67:C130" si="27">F67/E67</f>
        <v>171</v>
      </c>
      <c r="D67" t="s">
        <v>5</v>
      </c>
      <c r="E67">
        <v>6.75</v>
      </c>
      <c r="F67">
        <v>1154.25</v>
      </c>
    </row>
    <row r="68" spans="1:6" x14ac:dyDescent="0.25">
      <c r="A68" s="6">
        <v>44354</v>
      </c>
      <c r="B68" t="s">
        <v>51</v>
      </c>
      <c r="C68">
        <f t="shared" si="27"/>
        <v>204</v>
      </c>
      <c r="D68" t="s">
        <v>5</v>
      </c>
      <c r="E68">
        <v>7.25</v>
      </c>
      <c r="F68">
        <v>1479</v>
      </c>
    </row>
    <row r="69" spans="1:6" x14ac:dyDescent="0.25">
      <c r="A69" s="6">
        <v>44357</v>
      </c>
      <c r="B69" t="s">
        <v>45</v>
      </c>
      <c r="C69">
        <f t="shared" si="27"/>
        <v>1048.0003440387654</v>
      </c>
      <c r="D69" t="s">
        <v>5</v>
      </c>
      <c r="E69">
        <v>7.2084900000000003</v>
      </c>
      <c r="F69">
        <v>7554.5</v>
      </c>
    </row>
    <row r="70" spans="1:6" x14ac:dyDescent="0.25">
      <c r="A70" s="6">
        <v>44365</v>
      </c>
      <c r="B70" t="s">
        <v>51</v>
      </c>
      <c r="C70">
        <f t="shared" si="27"/>
        <v>152</v>
      </c>
      <c r="D70" t="s">
        <v>5</v>
      </c>
      <c r="E70">
        <v>7.25</v>
      </c>
      <c r="F70">
        <v>1102</v>
      </c>
    </row>
    <row r="71" spans="1:6" x14ac:dyDescent="0.25">
      <c r="A71" s="6">
        <v>44375</v>
      </c>
      <c r="B71" t="s">
        <v>44</v>
      </c>
      <c r="C71">
        <f t="shared" si="27"/>
        <v>725</v>
      </c>
      <c r="D71" t="s">
        <v>5</v>
      </c>
      <c r="E71">
        <v>7.5</v>
      </c>
      <c r="F71">
        <v>5437.5</v>
      </c>
    </row>
    <row r="72" spans="1:6" x14ac:dyDescent="0.25">
      <c r="A72" s="6">
        <v>44377</v>
      </c>
      <c r="B72" t="s">
        <v>52</v>
      </c>
      <c r="C72">
        <f t="shared" si="27"/>
        <v>176</v>
      </c>
      <c r="D72" t="s">
        <v>5</v>
      </c>
      <c r="E72">
        <v>6.75</v>
      </c>
      <c r="F72">
        <v>1188</v>
      </c>
    </row>
    <row r="73" spans="1:6" x14ac:dyDescent="0.25">
      <c r="A73" s="6">
        <v>44378</v>
      </c>
      <c r="B73" t="s">
        <v>51</v>
      </c>
      <c r="C73">
        <f t="shared" si="27"/>
        <v>204</v>
      </c>
      <c r="D73" t="s">
        <v>5</v>
      </c>
      <c r="E73">
        <v>7.25</v>
      </c>
      <c r="F73">
        <v>1479</v>
      </c>
    </row>
    <row r="74" spans="1:6" x14ac:dyDescent="0.25">
      <c r="A74" s="6">
        <v>44384</v>
      </c>
      <c r="B74" t="s">
        <v>49</v>
      </c>
      <c r="C74">
        <f t="shared" si="27"/>
        <v>1856.0005057049843</v>
      </c>
      <c r="D74" t="s">
        <v>5</v>
      </c>
      <c r="E74">
        <v>7.9097499999999998</v>
      </c>
      <c r="F74">
        <v>14680.5</v>
      </c>
    </row>
    <row r="75" spans="1:6" x14ac:dyDescent="0.25">
      <c r="A75" s="6">
        <v>44396</v>
      </c>
      <c r="B75" t="s">
        <v>51</v>
      </c>
      <c r="C75">
        <f t="shared" si="27"/>
        <v>208</v>
      </c>
      <c r="D75" t="s">
        <v>5</v>
      </c>
      <c r="E75">
        <v>7.25</v>
      </c>
      <c r="F75">
        <v>1508</v>
      </c>
    </row>
    <row r="76" spans="1:6" x14ac:dyDescent="0.25">
      <c r="A76" s="6">
        <v>44398</v>
      </c>
      <c r="B76" t="s">
        <v>52</v>
      </c>
      <c r="C76">
        <f t="shared" si="27"/>
        <v>145</v>
      </c>
      <c r="D76" t="s">
        <v>5</v>
      </c>
      <c r="E76">
        <v>6.75</v>
      </c>
      <c r="F76">
        <v>978.75</v>
      </c>
    </row>
    <row r="77" spans="1:6" x14ac:dyDescent="0.25">
      <c r="A77" s="6">
        <v>44403</v>
      </c>
      <c r="B77" t="s">
        <v>45</v>
      </c>
      <c r="C77">
        <f t="shared" si="27"/>
        <v>147</v>
      </c>
      <c r="D77" t="s">
        <v>5</v>
      </c>
      <c r="E77">
        <v>7.25</v>
      </c>
      <c r="F77">
        <v>1065.75</v>
      </c>
    </row>
    <row r="78" spans="1:6" x14ac:dyDescent="0.25">
      <c r="A78" s="6">
        <v>44403</v>
      </c>
      <c r="B78" t="s">
        <v>44</v>
      </c>
      <c r="C78">
        <f t="shared" si="27"/>
        <v>1122</v>
      </c>
      <c r="D78" t="s">
        <v>5</v>
      </c>
      <c r="E78">
        <v>7.5</v>
      </c>
      <c r="F78">
        <v>8415</v>
      </c>
    </row>
    <row r="79" spans="1:6" x14ac:dyDescent="0.25">
      <c r="A79" s="6">
        <v>44421</v>
      </c>
      <c r="B79" t="s">
        <v>51</v>
      </c>
      <c r="C79">
        <f t="shared" si="27"/>
        <v>454</v>
      </c>
      <c r="D79" t="s">
        <v>5</v>
      </c>
      <c r="E79">
        <v>7.25</v>
      </c>
      <c r="F79">
        <v>3291.5</v>
      </c>
    </row>
    <row r="80" spans="1:6" x14ac:dyDescent="0.25">
      <c r="A80" s="6">
        <v>44426</v>
      </c>
      <c r="B80" t="s">
        <v>44</v>
      </c>
      <c r="C80">
        <f t="shared" si="27"/>
        <v>1125</v>
      </c>
      <c r="D80" t="s">
        <v>5</v>
      </c>
      <c r="E80">
        <v>7.5</v>
      </c>
      <c r="F80">
        <v>8437.5</v>
      </c>
    </row>
    <row r="81" spans="1:6" x14ac:dyDescent="0.25">
      <c r="A81" s="6">
        <v>44433</v>
      </c>
      <c r="B81" t="s">
        <v>50</v>
      </c>
      <c r="C81">
        <f t="shared" si="27"/>
        <v>205</v>
      </c>
      <c r="D81" t="s">
        <v>5</v>
      </c>
      <c r="E81">
        <v>7.25</v>
      </c>
      <c r="F81">
        <v>1486.25</v>
      </c>
    </row>
    <row r="82" spans="1:6" x14ac:dyDescent="0.25">
      <c r="A82" s="6">
        <v>44441</v>
      </c>
      <c r="B82" t="s">
        <v>44</v>
      </c>
      <c r="C82">
        <f t="shared" si="27"/>
        <v>1998.1999999999998</v>
      </c>
      <c r="D82" t="s">
        <v>5</v>
      </c>
      <c r="E82">
        <v>7.75</v>
      </c>
      <c r="F82">
        <v>15486.05</v>
      </c>
    </row>
    <row r="83" spans="1:6" x14ac:dyDescent="0.25">
      <c r="A83" s="6">
        <v>44448</v>
      </c>
      <c r="B83" t="s">
        <v>51</v>
      </c>
      <c r="C83">
        <f t="shared" si="27"/>
        <v>921</v>
      </c>
      <c r="D83" t="s">
        <v>5</v>
      </c>
      <c r="E83">
        <v>7.75</v>
      </c>
      <c r="F83">
        <v>7137.75</v>
      </c>
    </row>
    <row r="84" spans="1:6" x14ac:dyDescent="0.25">
      <c r="A84" s="6">
        <v>44453</v>
      </c>
      <c r="B84" t="s">
        <v>52</v>
      </c>
      <c r="C84">
        <f t="shared" si="27"/>
        <v>289</v>
      </c>
      <c r="D84" t="s">
        <v>5</v>
      </c>
      <c r="E84">
        <v>6.75</v>
      </c>
      <c r="F84">
        <v>1950.75</v>
      </c>
    </row>
    <row r="85" spans="1:6" x14ac:dyDescent="0.25">
      <c r="A85" s="6">
        <v>44461</v>
      </c>
      <c r="B85" t="s">
        <v>44</v>
      </c>
      <c r="C85">
        <f t="shared" si="27"/>
        <v>680</v>
      </c>
      <c r="D85" t="s">
        <v>5</v>
      </c>
      <c r="E85">
        <v>7.75</v>
      </c>
      <c r="F85">
        <v>5270</v>
      </c>
    </row>
    <row r="86" spans="1:6" x14ac:dyDescent="0.25">
      <c r="A86" s="6">
        <v>44480</v>
      </c>
      <c r="B86" t="s">
        <v>51</v>
      </c>
      <c r="C86">
        <f t="shared" si="27"/>
        <v>415</v>
      </c>
      <c r="D86" t="s">
        <v>5</v>
      </c>
      <c r="E86">
        <v>7.75</v>
      </c>
      <c r="F86">
        <v>3216.25</v>
      </c>
    </row>
    <row r="87" spans="1:6" x14ac:dyDescent="0.25">
      <c r="A87" s="6">
        <v>44480</v>
      </c>
      <c r="B87" t="s">
        <v>44</v>
      </c>
      <c r="C87">
        <f t="shared" si="27"/>
        <v>894</v>
      </c>
      <c r="D87" t="s">
        <v>5</v>
      </c>
      <c r="E87">
        <v>7.75</v>
      </c>
      <c r="F87">
        <v>6928.5</v>
      </c>
    </row>
    <row r="88" spans="1:6" x14ac:dyDescent="0.25">
      <c r="A88" s="6">
        <v>44487</v>
      </c>
      <c r="B88" t="s">
        <v>45</v>
      </c>
      <c r="C88">
        <f t="shared" si="27"/>
        <v>272.79999896273767</v>
      </c>
      <c r="D88" t="s">
        <v>5</v>
      </c>
      <c r="E88">
        <v>7.7126099999999997</v>
      </c>
      <c r="F88">
        <v>2104</v>
      </c>
    </row>
    <row r="89" spans="1:6" x14ac:dyDescent="0.25">
      <c r="A89" s="6">
        <v>44502</v>
      </c>
      <c r="B89" t="s">
        <v>53</v>
      </c>
      <c r="C89">
        <f t="shared" si="27"/>
        <v>851</v>
      </c>
      <c r="D89" t="s">
        <v>5</v>
      </c>
      <c r="E89">
        <v>6.25</v>
      </c>
      <c r="F89">
        <v>5318.75</v>
      </c>
    </row>
    <row r="90" spans="1:6" x14ac:dyDescent="0.25">
      <c r="A90" s="6">
        <v>44512</v>
      </c>
      <c r="B90" t="s">
        <v>57</v>
      </c>
      <c r="C90">
        <f t="shared" si="27"/>
        <v>1560.0001038917865</v>
      </c>
      <c r="D90" t="s">
        <v>5</v>
      </c>
      <c r="E90">
        <v>7.7003199999999996</v>
      </c>
      <c r="F90">
        <v>12012.5</v>
      </c>
    </row>
    <row r="91" spans="1:6" x14ac:dyDescent="0.25">
      <c r="A91" s="6">
        <v>44512</v>
      </c>
      <c r="B91" t="s">
        <v>48</v>
      </c>
      <c r="C91">
        <f t="shared" si="27"/>
        <v>3819</v>
      </c>
      <c r="D91" t="s">
        <v>5</v>
      </c>
      <c r="E91">
        <v>7.8</v>
      </c>
      <c r="F91">
        <v>29788.2</v>
      </c>
    </row>
    <row r="92" spans="1:6" x14ac:dyDescent="0.25">
      <c r="A92" s="6">
        <v>44522</v>
      </c>
      <c r="B92" t="s">
        <v>51</v>
      </c>
      <c r="C92">
        <f t="shared" si="27"/>
        <v>453</v>
      </c>
      <c r="D92" t="s">
        <v>5</v>
      </c>
      <c r="E92">
        <v>8</v>
      </c>
      <c r="F92">
        <v>3624</v>
      </c>
    </row>
    <row r="93" spans="1:6" x14ac:dyDescent="0.25">
      <c r="A93" s="6">
        <v>44537</v>
      </c>
      <c r="B93" t="s">
        <v>58</v>
      </c>
      <c r="C93">
        <f t="shared" si="27"/>
        <v>5.4000036802122064</v>
      </c>
      <c r="D93" t="s">
        <v>5</v>
      </c>
      <c r="E93">
        <v>7.0648099999999996</v>
      </c>
      <c r="F93">
        <v>38.15</v>
      </c>
    </row>
    <row r="94" spans="1:6" x14ac:dyDescent="0.25">
      <c r="A94" s="6">
        <v>44537</v>
      </c>
      <c r="B94" t="s">
        <v>59</v>
      </c>
      <c r="C94">
        <f t="shared" si="27"/>
        <v>89</v>
      </c>
      <c r="D94" t="s">
        <v>5</v>
      </c>
      <c r="E94">
        <v>7.75</v>
      </c>
      <c r="F94">
        <v>689.75</v>
      </c>
    </row>
    <row r="95" spans="1:6" x14ac:dyDescent="0.25">
      <c r="A95" s="6">
        <v>44551</v>
      </c>
      <c r="B95" t="s">
        <v>52</v>
      </c>
      <c r="C95">
        <f t="shared" si="27"/>
        <v>237</v>
      </c>
      <c r="D95" t="s">
        <v>5</v>
      </c>
      <c r="E95">
        <v>8</v>
      </c>
      <c r="F95">
        <v>1896</v>
      </c>
    </row>
    <row r="96" spans="1:6" x14ac:dyDescent="0.25">
      <c r="A96" s="6">
        <v>44558</v>
      </c>
      <c r="B96" t="s">
        <v>43</v>
      </c>
      <c r="C96">
        <f t="shared" si="27"/>
        <v>5</v>
      </c>
      <c r="D96" t="s">
        <v>5</v>
      </c>
      <c r="E96">
        <v>7.75</v>
      </c>
      <c r="F96">
        <v>38.75</v>
      </c>
    </row>
    <row r="97" spans="1:6" x14ac:dyDescent="0.25">
      <c r="A97" s="6">
        <v>44565</v>
      </c>
      <c r="B97" t="s">
        <v>60</v>
      </c>
      <c r="C97">
        <f t="shared" si="27"/>
        <v>3</v>
      </c>
      <c r="D97" t="s">
        <v>5</v>
      </c>
      <c r="E97">
        <v>7</v>
      </c>
      <c r="F97">
        <v>21</v>
      </c>
    </row>
    <row r="98" spans="1:6" x14ac:dyDescent="0.25">
      <c r="A98" s="6">
        <v>44565</v>
      </c>
      <c r="B98" t="s">
        <v>44</v>
      </c>
      <c r="C98">
        <f t="shared" si="27"/>
        <v>2500</v>
      </c>
      <c r="D98" t="s">
        <v>5</v>
      </c>
      <c r="E98">
        <v>8.25</v>
      </c>
      <c r="F98">
        <v>20625</v>
      </c>
    </row>
    <row r="99" spans="1:6" x14ac:dyDescent="0.25">
      <c r="A99" s="6">
        <v>44565</v>
      </c>
      <c r="B99" t="s">
        <v>44</v>
      </c>
      <c r="C99">
        <f t="shared" si="27"/>
        <v>3334</v>
      </c>
      <c r="D99" t="s">
        <v>5</v>
      </c>
      <c r="E99">
        <v>8.5</v>
      </c>
      <c r="F99">
        <v>28339</v>
      </c>
    </row>
    <row r="100" spans="1:6" x14ac:dyDescent="0.25">
      <c r="A100" s="6">
        <v>44567</v>
      </c>
      <c r="B100" t="s">
        <v>50</v>
      </c>
      <c r="C100">
        <f t="shared" si="27"/>
        <v>605</v>
      </c>
      <c r="D100" t="s">
        <v>5</v>
      </c>
      <c r="E100">
        <v>8</v>
      </c>
      <c r="F100">
        <v>4840</v>
      </c>
    </row>
    <row r="101" spans="1:6" x14ac:dyDescent="0.25">
      <c r="A101" s="6">
        <v>44567</v>
      </c>
      <c r="B101" t="s">
        <v>51</v>
      </c>
      <c r="C101">
        <f t="shared" si="27"/>
        <v>3921</v>
      </c>
      <c r="D101" t="s">
        <v>5</v>
      </c>
      <c r="E101">
        <v>8.25</v>
      </c>
      <c r="F101">
        <v>32348.25</v>
      </c>
    </row>
    <row r="102" spans="1:6" x14ac:dyDescent="0.25">
      <c r="A102" s="6">
        <v>44580</v>
      </c>
      <c r="B102" t="s">
        <v>45</v>
      </c>
      <c r="C102">
        <f t="shared" si="27"/>
        <v>850</v>
      </c>
      <c r="D102" t="s">
        <v>5</v>
      </c>
      <c r="E102">
        <v>8</v>
      </c>
      <c r="F102">
        <v>6800</v>
      </c>
    </row>
    <row r="103" spans="1:6" x14ac:dyDescent="0.25">
      <c r="A103" s="6">
        <v>44580</v>
      </c>
      <c r="B103" t="s">
        <v>45</v>
      </c>
      <c r="C103">
        <f t="shared" si="27"/>
        <v>1126.9995152690258</v>
      </c>
      <c r="D103" t="s">
        <v>5</v>
      </c>
      <c r="E103">
        <v>8.1694800000000001</v>
      </c>
      <c r="F103">
        <v>9207</v>
      </c>
    </row>
    <row r="104" spans="1:6" x14ac:dyDescent="0.25">
      <c r="A104" s="6">
        <v>44607</v>
      </c>
      <c r="B104" t="s">
        <v>51</v>
      </c>
      <c r="C104">
        <f t="shared" si="27"/>
        <v>2081</v>
      </c>
      <c r="D104" t="s">
        <v>5</v>
      </c>
      <c r="E104">
        <v>8.5</v>
      </c>
      <c r="F104">
        <v>17688.5</v>
      </c>
    </row>
    <row r="105" spans="1:6" x14ac:dyDescent="0.25">
      <c r="A105" s="6">
        <v>44624</v>
      </c>
      <c r="B105" t="s">
        <v>50</v>
      </c>
      <c r="C105">
        <f t="shared" si="27"/>
        <v>662.6</v>
      </c>
      <c r="D105" t="s">
        <v>5</v>
      </c>
      <c r="E105">
        <v>8.5</v>
      </c>
      <c r="F105">
        <v>5632.1</v>
      </c>
    </row>
    <row r="106" spans="1:6" x14ac:dyDescent="0.25">
      <c r="A106" s="6">
        <v>44624</v>
      </c>
      <c r="B106" t="s">
        <v>44</v>
      </c>
      <c r="C106">
        <f t="shared" si="27"/>
        <v>3812.2000000000003</v>
      </c>
      <c r="D106" t="s">
        <v>5</v>
      </c>
      <c r="E106">
        <v>9</v>
      </c>
      <c r="F106">
        <v>34309.800000000003</v>
      </c>
    </row>
    <row r="107" spans="1:6" x14ac:dyDescent="0.25">
      <c r="A107" s="6">
        <v>44634</v>
      </c>
      <c r="B107" t="s">
        <v>51</v>
      </c>
      <c r="C107">
        <f t="shared" si="27"/>
        <v>1525.6000000000001</v>
      </c>
      <c r="D107" t="s">
        <v>5</v>
      </c>
      <c r="E107">
        <v>8.5</v>
      </c>
      <c r="F107">
        <v>12967.6</v>
      </c>
    </row>
    <row r="108" spans="1:6" x14ac:dyDescent="0.25">
      <c r="A108" s="6">
        <v>44656</v>
      </c>
      <c r="B108" t="s">
        <v>52</v>
      </c>
      <c r="C108">
        <f t="shared" si="27"/>
        <v>288</v>
      </c>
      <c r="D108" t="s">
        <v>5</v>
      </c>
      <c r="E108">
        <v>9</v>
      </c>
      <c r="F108">
        <v>2592</v>
      </c>
    </row>
    <row r="109" spans="1:6" x14ac:dyDescent="0.25">
      <c r="A109" s="6">
        <v>44662</v>
      </c>
      <c r="B109" t="s">
        <v>50</v>
      </c>
      <c r="C109">
        <f t="shared" si="27"/>
        <v>606</v>
      </c>
      <c r="D109" t="s">
        <v>5</v>
      </c>
      <c r="E109">
        <v>8.5</v>
      </c>
      <c r="F109">
        <v>5151</v>
      </c>
    </row>
    <row r="110" spans="1:6" x14ac:dyDescent="0.25">
      <c r="A110" s="6">
        <v>44662</v>
      </c>
      <c r="B110" t="s">
        <v>51</v>
      </c>
      <c r="C110">
        <f t="shared" si="27"/>
        <v>1411</v>
      </c>
      <c r="D110" t="s">
        <v>5</v>
      </c>
      <c r="E110">
        <v>8.75</v>
      </c>
      <c r="F110">
        <v>12346.25</v>
      </c>
    </row>
    <row r="111" spans="1:6" x14ac:dyDescent="0.25">
      <c r="A111" s="6">
        <v>44678</v>
      </c>
      <c r="B111" t="s">
        <v>45</v>
      </c>
      <c r="C111">
        <f t="shared" si="27"/>
        <v>1184.0000659101904</v>
      </c>
      <c r="D111" t="s">
        <v>5</v>
      </c>
      <c r="E111">
        <v>8.4964099999999991</v>
      </c>
      <c r="F111">
        <v>10059.75</v>
      </c>
    </row>
    <row r="112" spans="1:6" x14ac:dyDescent="0.25">
      <c r="A112" s="6">
        <v>44679</v>
      </c>
      <c r="B112" t="s">
        <v>51</v>
      </c>
      <c r="C112">
        <f t="shared" si="27"/>
        <v>253</v>
      </c>
      <c r="D112" t="s">
        <v>5</v>
      </c>
      <c r="E112">
        <v>8.75</v>
      </c>
      <c r="F112">
        <v>2213.75</v>
      </c>
    </row>
    <row r="113" spans="1:6" x14ac:dyDescent="0.25">
      <c r="A113" s="6">
        <v>44680</v>
      </c>
      <c r="B113" t="s">
        <v>61</v>
      </c>
      <c r="C113">
        <f t="shared" si="27"/>
        <v>4</v>
      </c>
      <c r="D113" t="s">
        <v>5</v>
      </c>
      <c r="E113">
        <v>7</v>
      </c>
      <c r="F113">
        <v>28</v>
      </c>
    </row>
    <row r="114" spans="1:6" x14ac:dyDescent="0.25">
      <c r="A114" s="6">
        <v>44691</v>
      </c>
      <c r="B114" t="s">
        <v>44</v>
      </c>
      <c r="C114">
        <f t="shared" si="27"/>
        <v>792</v>
      </c>
      <c r="D114" t="s">
        <v>5</v>
      </c>
      <c r="E114">
        <v>9</v>
      </c>
      <c r="F114">
        <v>7128</v>
      </c>
    </row>
    <row r="115" spans="1:6" x14ac:dyDescent="0.25">
      <c r="A115" s="6">
        <v>44692</v>
      </c>
      <c r="B115" t="s">
        <v>51</v>
      </c>
      <c r="C115">
        <f t="shared" si="27"/>
        <v>503</v>
      </c>
      <c r="D115" t="s">
        <v>5</v>
      </c>
      <c r="E115">
        <v>8.75</v>
      </c>
      <c r="F115">
        <v>4401.25</v>
      </c>
    </row>
    <row r="116" spans="1:6" x14ac:dyDescent="0.25">
      <c r="A116" s="6">
        <v>44694</v>
      </c>
      <c r="B116" t="s">
        <v>61</v>
      </c>
      <c r="C116">
        <f t="shared" si="27"/>
        <v>4</v>
      </c>
      <c r="D116" t="s">
        <v>5</v>
      </c>
      <c r="E116">
        <v>7</v>
      </c>
      <c r="F116">
        <v>28</v>
      </c>
    </row>
    <row r="117" spans="1:6" x14ac:dyDescent="0.25">
      <c r="A117" s="6">
        <v>44706</v>
      </c>
      <c r="B117" t="s">
        <v>62</v>
      </c>
      <c r="C117">
        <f t="shared" si="27"/>
        <v>44</v>
      </c>
      <c r="D117" t="s">
        <v>5</v>
      </c>
      <c r="E117">
        <v>8</v>
      </c>
      <c r="F117">
        <v>352</v>
      </c>
    </row>
    <row r="118" spans="1:6" x14ac:dyDescent="0.25">
      <c r="A118" s="6">
        <v>44712</v>
      </c>
      <c r="B118" t="s">
        <v>50</v>
      </c>
      <c r="C118">
        <f t="shared" si="27"/>
        <v>504</v>
      </c>
      <c r="D118" t="s">
        <v>5</v>
      </c>
      <c r="E118">
        <v>8.5</v>
      </c>
      <c r="F118">
        <v>4284</v>
      </c>
    </row>
    <row r="119" spans="1:6" x14ac:dyDescent="0.25">
      <c r="A119" s="6">
        <v>44713</v>
      </c>
      <c r="B119" t="s">
        <v>51</v>
      </c>
      <c r="C119">
        <f t="shared" si="27"/>
        <v>382</v>
      </c>
      <c r="D119" t="s">
        <v>5</v>
      </c>
      <c r="E119">
        <v>9</v>
      </c>
      <c r="F119">
        <v>3438</v>
      </c>
    </row>
    <row r="120" spans="1:6" x14ac:dyDescent="0.25">
      <c r="A120" s="6">
        <v>44714</v>
      </c>
      <c r="B120" t="s">
        <v>52</v>
      </c>
      <c r="C120">
        <f t="shared" si="27"/>
        <v>237.00006644861674</v>
      </c>
      <c r="D120" t="s">
        <v>5</v>
      </c>
      <c r="E120">
        <v>8.1265800000000006</v>
      </c>
      <c r="F120">
        <v>1926</v>
      </c>
    </row>
    <row r="121" spans="1:6" x14ac:dyDescent="0.25">
      <c r="A121" s="6">
        <v>44725</v>
      </c>
      <c r="B121" t="s">
        <v>51</v>
      </c>
      <c r="C121">
        <f t="shared" si="27"/>
        <v>250</v>
      </c>
      <c r="D121" t="s">
        <v>5</v>
      </c>
      <c r="E121">
        <v>9</v>
      </c>
      <c r="F121">
        <v>2250</v>
      </c>
    </row>
    <row r="122" spans="1:6" x14ac:dyDescent="0.25">
      <c r="A122" s="6">
        <v>44736</v>
      </c>
      <c r="B122" t="s">
        <v>51</v>
      </c>
      <c r="C122">
        <f t="shared" si="27"/>
        <v>208</v>
      </c>
      <c r="D122" t="s">
        <v>5</v>
      </c>
      <c r="E122">
        <v>9</v>
      </c>
      <c r="F122">
        <v>1872</v>
      </c>
    </row>
    <row r="123" spans="1:6" x14ac:dyDescent="0.25">
      <c r="A123" s="6">
        <v>44764</v>
      </c>
      <c r="B123" t="s">
        <v>51</v>
      </c>
      <c r="C123">
        <f t="shared" si="27"/>
        <v>223</v>
      </c>
      <c r="D123" t="s">
        <v>5</v>
      </c>
      <c r="E123">
        <v>9</v>
      </c>
      <c r="F123">
        <v>2007</v>
      </c>
    </row>
    <row r="124" spans="1:6" x14ac:dyDescent="0.25">
      <c r="A124" s="6">
        <v>44785</v>
      </c>
      <c r="B124" t="s">
        <v>62</v>
      </c>
      <c r="C124">
        <f t="shared" si="27"/>
        <v>31.799996337173198</v>
      </c>
      <c r="D124" t="s">
        <v>5</v>
      </c>
      <c r="E124">
        <v>6.0062899999999999</v>
      </c>
      <c r="F124">
        <v>191</v>
      </c>
    </row>
    <row r="125" spans="1:6" x14ac:dyDescent="0.25">
      <c r="A125" s="6">
        <v>44788</v>
      </c>
      <c r="B125" t="s">
        <v>44</v>
      </c>
      <c r="C125">
        <f t="shared" si="27"/>
        <v>8940</v>
      </c>
      <c r="D125" t="s">
        <v>5</v>
      </c>
      <c r="E125">
        <v>9</v>
      </c>
      <c r="F125">
        <v>80460</v>
      </c>
    </row>
    <row r="126" spans="1:6" x14ac:dyDescent="0.25">
      <c r="A126" s="6">
        <v>44804</v>
      </c>
      <c r="B126" t="s">
        <v>51</v>
      </c>
      <c r="C126">
        <f t="shared" si="27"/>
        <v>1476</v>
      </c>
      <c r="D126" t="s">
        <v>5</v>
      </c>
      <c r="E126">
        <v>9</v>
      </c>
      <c r="F126">
        <v>13284</v>
      </c>
    </row>
    <row r="127" spans="1:6" x14ac:dyDescent="0.25">
      <c r="A127" s="6">
        <v>44804</v>
      </c>
      <c r="B127" t="s">
        <v>44</v>
      </c>
      <c r="C127">
        <f t="shared" si="27"/>
        <v>2574</v>
      </c>
      <c r="D127" t="s">
        <v>5</v>
      </c>
      <c r="E127">
        <v>9</v>
      </c>
      <c r="F127">
        <v>23166</v>
      </c>
    </row>
    <row r="128" spans="1:6" x14ac:dyDescent="0.25">
      <c r="A128" s="6">
        <v>44811</v>
      </c>
      <c r="B128" t="s">
        <v>47</v>
      </c>
      <c r="C128">
        <f t="shared" si="27"/>
        <v>218</v>
      </c>
      <c r="D128" t="s">
        <v>5</v>
      </c>
      <c r="E128">
        <v>8.5</v>
      </c>
      <c r="F128">
        <v>1853</v>
      </c>
    </row>
    <row r="129" spans="1:6" x14ac:dyDescent="0.25">
      <c r="A129" s="6">
        <v>44845</v>
      </c>
      <c r="B129" t="s">
        <v>51</v>
      </c>
      <c r="C129">
        <f t="shared" si="27"/>
        <v>4009</v>
      </c>
      <c r="D129" t="s">
        <v>5</v>
      </c>
      <c r="E129">
        <v>9.25</v>
      </c>
      <c r="F129">
        <v>37083.25</v>
      </c>
    </row>
    <row r="130" spans="1:6" x14ac:dyDescent="0.25">
      <c r="A130" s="6">
        <v>44846</v>
      </c>
      <c r="B130" t="s">
        <v>65</v>
      </c>
      <c r="C130">
        <f t="shared" si="27"/>
        <v>185.70000000000002</v>
      </c>
      <c r="D130" t="s">
        <v>5</v>
      </c>
      <c r="E130">
        <v>8.5</v>
      </c>
      <c r="F130">
        <v>1578.45</v>
      </c>
    </row>
    <row r="131" spans="1:6" x14ac:dyDescent="0.25">
      <c r="A131" s="6">
        <v>44847</v>
      </c>
      <c r="B131" t="s">
        <v>48</v>
      </c>
      <c r="C131">
        <f t="shared" ref="C131:C194" si="28">F131/E131</f>
        <v>349</v>
      </c>
      <c r="D131" t="s">
        <v>5</v>
      </c>
      <c r="E131">
        <v>8.5</v>
      </c>
      <c r="F131">
        <v>2966.5</v>
      </c>
    </row>
    <row r="132" spans="1:6" x14ac:dyDescent="0.25">
      <c r="A132" s="6">
        <v>44847</v>
      </c>
      <c r="B132" t="s">
        <v>53</v>
      </c>
      <c r="C132">
        <f t="shared" si="28"/>
        <v>819</v>
      </c>
      <c r="D132" t="s">
        <v>5</v>
      </c>
      <c r="E132">
        <v>7.5</v>
      </c>
      <c r="F132">
        <v>6142.5</v>
      </c>
    </row>
    <row r="133" spans="1:6" x14ac:dyDescent="0.25">
      <c r="A133" s="6">
        <v>44852</v>
      </c>
      <c r="B133" t="s">
        <v>45</v>
      </c>
      <c r="C133">
        <f t="shared" si="28"/>
        <v>3147.9995218660883</v>
      </c>
      <c r="D133" t="s">
        <v>5</v>
      </c>
      <c r="E133">
        <v>8.7841500000000003</v>
      </c>
      <c r="F133">
        <v>27652.5</v>
      </c>
    </row>
    <row r="134" spans="1:6" x14ac:dyDescent="0.25">
      <c r="A134" s="6">
        <v>44854</v>
      </c>
      <c r="B134" t="s">
        <v>63</v>
      </c>
      <c r="C134">
        <f t="shared" si="28"/>
        <v>1257.0003831070851</v>
      </c>
      <c r="D134" t="s">
        <v>5</v>
      </c>
      <c r="E134">
        <v>8.0656300000000005</v>
      </c>
      <c r="F134">
        <v>10138.5</v>
      </c>
    </row>
    <row r="135" spans="1:6" x14ac:dyDescent="0.25">
      <c r="A135" s="6">
        <v>44859</v>
      </c>
      <c r="B135" t="s">
        <v>47</v>
      </c>
      <c r="C135">
        <f t="shared" si="28"/>
        <v>86</v>
      </c>
      <c r="D135" t="s">
        <v>5</v>
      </c>
      <c r="E135">
        <v>9</v>
      </c>
      <c r="F135">
        <v>774</v>
      </c>
    </row>
    <row r="136" spans="1:6" x14ac:dyDescent="0.25">
      <c r="A136" s="6">
        <v>44869</v>
      </c>
      <c r="B136" t="s">
        <v>64</v>
      </c>
      <c r="C136">
        <f t="shared" si="28"/>
        <v>1897.9998177191051</v>
      </c>
      <c r="D136" t="s">
        <v>5</v>
      </c>
      <c r="E136">
        <v>8.5582200000000004</v>
      </c>
      <c r="F136">
        <v>16243.5</v>
      </c>
    </row>
    <row r="137" spans="1:6" x14ac:dyDescent="0.25">
      <c r="A137" s="6">
        <v>44875</v>
      </c>
      <c r="B137" t="s">
        <v>44</v>
      </c>
      <c r="C137">
        <f t="shared" si="28"/>
        <v>4596</v>
      </c>
      <c r="D137" t="s">
        <v>5</v>
      </c>
      <c r="E137">
        <v>9.35</v>
      </c>
      <c r="F137">
        <v>42972.6</v>
      </c>
    </row>
    <row r="138" spans="1:6" x14ac:dyDescent="0.25">
      <c r="A138" s="6">
        <v>44881</v>
      </c>
      <c r="B138" t="s">
        <v>44</v>
      </c>
      <c r="C138">
        <f t="shared" si="28"/>
        <v>2951</v>
      </c>
      <c r="D138" t="s">
        <v>5</v>
      </c>
      <c r="E138">
        <v>9.35</v>
      </c>
      <c r="F138">
        <v>27591.85</v>
      </c>
    </row>
    <row r="139" spans="1:6" x14ac:dyDescent="0.25">
      <c r="A139" s="6">
        <v>44882</v>
      </c>
      <c r="B139" t="s">
        <v>47</v>
      </c>
      <c r="C139">
        <f t="shared" si="28"/>
        <v>57</v>
      </c>
      <c r="D139" t="s">
        <v>5</v>
      </c>
      <c r="E139">
        <v>9</v>
      </c>
      <c r="F139">
        <v>513</v>
      </c>
    </row>
    <row r="140" spans="1:6" x14ac:dyDescent="0.25">
      <c r="A140" s="6">
        <v>44893</v>
      </c>
      <c r="B140" t="s">
        <v>66</v>
      </c>
      <c r="C140">
        <f t="shared" si="28"/>
        <v>569.00030845229935</v>
      </c>
      <c r="D140" t="s">
        <v>5</v>
      </c>
      <c r="E140">
        <v>8.4940200000000008</v>
      </c>
      <c r="F140">
        <v>4833.1000000000004</v>
      </c>
    </row>
    <row r="141" spans="1:6" x14ac:dyDescent="0.25">
      <c r="A141" s="6">
        <v>44914</v>
      </c>
      <c r="B141" t="s">
        <v>51</v>
      </c>
      <c r="C141">
        <f t="shared" si="28"/>
        <v>1000</v>
      </c>
      <c r="D141" t="s">
        <v>5</v>
      </c>
      <c r="E141">
        <v>9</v>
      </c>
      <c r="F141">
        <v>9000</v>
      </c>
    </row>
    <row r="142" spans="1:6" x14ac:dyDescent="0.25">
      <c r="A142" s="6">
        <v>44914</v>
      </c>
      <c r="B142" t="s">
        <v>51</v>
      </c>
      <c r="C142">
        <f t="shared" si="28"/>
        <v>1574</v>
      </c>
      <c r="D142" t="s">
        <v>5</v>
      </c>
      <c r="E142">
        <v>8.5</v>
      </c>
      <c r="F142">
        <v>13379</v>
      </c>
    </row>
    <row r="143" spans="1:6" x14ac:dyDescent="0.25">
      <c r="A143" s="6">
        <v>44937</v>
      </c>
      <c r="B143" t="s">
        <v>44</v>
      </c>
      <c r="C143">
        <f t="shared" si="28"/>
        <v>1900</v>
      </c>
      <c r="D143" t="s">
        <v>5</v>
      </c>
      <c r="E143">
        <v>9.35</v>
      </c>
      <c r="F143">
        <v>17765</v>
      </c>
    </row>
    <row r="144" spans="1:6" x14ac:dyDescent="0.25">
      <c r="A144" s="6">
        <v>44937</v>
      </c>
      <c r="B144" t="s">
        <v>44</v>
      </c>
      <c r="C144">
        <f t="shared" si="28"/>
        <v>3049</v>
      </c>
      <c r="D144" t="s">
        <v>5</v>
      </c>
      <c r="E144">
        <v>8.5</v>
      </c>
      <c r="F144">
        <v>25916.5</v>
      </c>
    </row>
    <row r="145" spans="1:6" x14ac:dyDescent="0.25">
      <c r="A145" s="6">
        <v>44951</v>
      </c>
      <c r="B145" t="s">
        <v>45</v>
      </c>
      <c r="C145">
        <f t="shared" si="28"/>
        <v>3709.0015168774758</v>
      </c>
      <c r="D145" t="s">
        <v>5</v>
      </c>
      <c r="E145">
        <v>8.4713499999999993</v>
      </c>
      <c r="F145">
        <v>31420.25</v>
      </c>
    </row>
    <row r="146" spans="1:6" x14ac:dyDescent="0.25">
      <c r="A146" s="6">
        <v>44952</v>
      </c>
      <c r="B146" t="s">
        <v>50</v>
      </c>
      <c r="C146">
        <f t="shared" si="28"/>
        <v>2881</v>
      </c>
      <c r="D146" t="s">
        <v>5</v>
      </c>
      <c r="E146">
        <v>8.5</v>
      </c>
      <c r="F146">
        <v>24488.5</v>
      </c>
    </row>
    <row r="147" spans="1:6" x14ac:dyDescent="0.25">
      <c r="A147" s="6">
        <v>44956</v>
      </c>
      <c r="B147" t="s">
        <v>51</v>
      </c>
      <c r="C147">
        <f t="shared" si="28"/>
        <v>2593</v>
      </c>
      <c r="D147" t="s">
        <v>5</v>
      </c>
      <c r="E147">
        <v>8.5</v>
      </c>
      <c r="F147">
        <v>22040.5</v>
      </c>
    </row>
    <row r="148" spans="1:6" x14ac:dyDescent="0.25">
      <c r="A148" s="6">
        <v>44991</v>
      </c>
      <c r="B148" t="s">
        <v>44</v>
      </c>
      <c r="C148">
        <f t="shared" si="28"/>
        <v>1830</v>
      </c>
      <c r="D148" t="s">
        <v>5</v>
      </c>
      <c r="E148">
        <v>8</v>
      </c>
      <c r="F148">
        <v>14640</v>
      </c>
    </row>
    <row r="149" spans="1:6" x14ac:dyDescent="0.25">
      <c r="A149" s="6">
        <v>44991</v>
      </c>
      <c r="B149" t="s">
        <v>44</v>
      </c>
      <c r="C149">
        <f t="shared" si="28"/>
        <v>5400</v>
      </c>
      <c r="D149" t="s">
        <v>5</v>
      </c>
      <c r="E149">
        <v>8.2729499999999998</v>
      </c>
      <c r="F149">
        <v>44673.93</v>
      </c>
    </row>
    <row r="150" spans="1:6" x14ac:dyDescent="0.25">
      <c r="A150" s="6">
        <v>45000</v>
      </c>
      <c r="B150" t="s">
        <v>44</v>
      </c>
      <c r="C150">
        <f t="shared" si="28"/>
        <v>614</v>
      </c>
      <c r="D150" t="s">
        <v>5</v>
      </c>
      <c r="E150">
        <v>8.25</v>
      </c>
      <c r="F150">
        <v>5065.5</v>
      </c>
    </row>
    <row r="151" spans="1:6" x14ac:dyDescent="0.25">
      <c r="A151" s="6">
        <v>45008</v>
      </c>
      <c r="B151" t="s">
        <v>51</v>
      </c>
      <c r="C151">
        <f t="shared" si="28"/>
        <v>3040</v>
      </c>
      <c r="D151" t="s">
        <v>5</v>
      </c>
      <c r="E151">
        <v>8.25</v>
      </c>
      <c r="F151">
        <v>25080</v>
      </c>
    </row>
    <row r="152" spans="1:6" x14ac:dyDescent="0.25">
      <c r="A152" s="6">
        <v>45022</v>
      </c>
      <c r="B152" t="s">
        <v>52</v>
      </c>
      <c r="C152">
        <f t="shared" si="28"/>
        <v>431.99985836070221</v>
      </c>
      <c r="D152" t="s">
        <v>5</v>
      </c>
      <c r="E152">
        <v>7.9074099999999996</v>
      </c>
      <c r="F152">
        <v>3416</v>
      </c>
    </row>
    <row r="153" spans="1:6" x14ac:dyDescent="0.25">
      <c r="A153" s="6">
        <v>45043</v>
      </c>
      <c r="B153" t="s">
        <v>51</v>
      </c>
      <c r="C153">
        <f t="shared" si="28"/>
        <v>1998</v>
      </c>
      <c r="D153" t="s">
        <v>5</v>
      </c>
      <c r="E153">
        <v>8.25</v>
      </c>
      <c r="F153">
        <v>16483.5</v>
      </c>
    </row>
    <row r="154" spans="1:6" x14ac:dyDescent="0.25">
      <c r="A154" s="6">
        <v>45056</v>
      </c>
      <c r="B154" t="s">
        <v>49</v>
      </c>
      <c r="C154">
        <f t="shared" si="28"/>
        <v>4517</v>
      </c>
      <c r="D154" t="s">
        <v>5</v>
      </c>
      <c r="E154">
        <v>8</v>
      </c>
      <c r="F154">
        <v>36136</v>
      </c>
    </row>
    <row r="155" spans="1:6" x14ac:dyDescent="0.25">
      <c r="A155" s="6">
        <v>45058</v>
      </c>
      <c r="B155" t="s">
        <v>44</v>
      </c>
      <c r="C155">
        <f t="shared" si="28"/>
        <v>2232</v>
      </c>
      <c r="D155" t="s">
        <v>5</v>
      </c>
      <c r="E155">
        <v>8.25</v>
      </c>
      <c r="F155">
        <v>18414</v>
      </c>
    </row>
    <row r="156" spans="1:6" x14ac:dyDescent="0.25">
      <c r="A156" s="6">
        <v>45071</v>
      </c>
      <c r="B156" t="s">
        <v>51</v>
      </c>
      <c r="C156">
        <f t="shared" si="28"/>
        <v>3558</v>
      </c>
      <c r="D156" t="s">
        <v>5</v>
      </c>
      <c r="E156">
        <v>8</v>
      </c>
      <c r="F156">
        <v>28464</v>
      </c>
    </row>
    <row r="157" spans="1:6" x14ac:dyDescent="0.25">
      <c r="A157" s="6">
        <v>45076</v>
      </c>
      <c r="B157" t="s">
        <v>62</v>
      </c>
      <c r="C157">
        <f t="shared" si="28"/>
        <v>15</v>
      </c>
      <c r="D157" t="s">
        <v>5</v>
      </c>
      <c r="E157">
        <v>8</v>
      </c>
      <c r="F157">
        <v>120</v>
      </c>
    </row>
    <row r="158" spans="1:6" x14ac:dyDescent="0.25">
      <c r="A158" s="6">
        <v>45082</v>
      </c>
      <c r="B158" t="s">
        <v>52</v>
      </c>
      <c r="C158">
        <f t="shared" si="28"/>
        <v>315.99986306672599</v>
      </c>
      <c r="D158" t="s">
        <v>5</v>
      </c>
      <c r="E158">
        <v>7.5949400000000002</v>
      </c>
      <c r="F158">
        <v>2400</v>
      </c>
    </row>
    <row r="159" spans="1:6" x14ac:dyDescent="0.25">
      <c r="A159" s="6">
        <v>45090</v>
      </c>
      <c r="B159" t="s">
        <v>44</v>
      </c>
      <c r="C159">
        <f t="shared" si="28"/>
        <v>996</v>
      </c>
      <c r="D159" t="s">
        <v>5</v>
      </c>
      <c r="E159">
        <v>8.25</v>
      </c>
      <c r="F159">
        <v>8217</v>
      </c>
    </row>
    <row r="160" spans="1:6" x14ac:dyDescent="0.25">
      <c r="A160" s="6">
        <v>45092</v>
      </c>
      <c r="B160" t="s">
        <v>51</v>
      </c>
      <c r="C160">
        <f t="shared" si="28"/>
        <v>897</v>
      </c>
      <c r="D160" t="s">
        <v>5</v>
      </c>
      <c r="E160">
        <v>7.5</v>
      </c>
      <c r="F160">
        <v>6727.5</v>
      </c>
    </row>
    <row r="161" spans="1:6" x14ac:dyDescent="0.25">
      <c r="A161" s="6">
        <v>45092</v>
      </c>
      <c r="B161" t="s">
        <v>44</v>
      </c>
      <c r="C161">
        <f t="shared" si="28"/>
        <v>982</v>
      </c>
      <c r="D161" t="s">
        <v>5</v>
      </c>
      <c r="E161">
        <v>7.75</v>
      </c>
      <c r="F161">
        <v>7610.5</v>
      </c>
    </row>
    <row r="162" spans="1:6" x14ac:dyDescent="0.25">
      <c r="A162" s="6">
        <v>45092</v>
      </c>
      <c r="B162" t="s">
        <v>44</v>
      </c>
      <c r="C162">
        <f t="shared" si="28"/>
        <v>2570</v>
      </c>
      <c r="D162" t="s">
        <v>5</v>
      </c>
      <c r="E162">
        <v>8.25</v>
      </c>
      <c r="F162">
        <v>21202.5</v>
      </c>
    </row>
    <row r="163" spans="1:6" x14ac:dyDescent="0.25">
      <c r="A163" s="6">
        <v>45093</v>
      </c>
      <c r="B163" t="s">
        <v>47</v>
      </c>
      <c r="C163">
        <f t="shared" si="28"/>
        <v>10</v>
      </c>
      <c r="D163" t="s">
        <v>5</v>
      </c>
      <c r="E163">
        <v>7</v>
      </c>
      <c r="F163">
        <v>70</v>
      </c>
    </row>
    <row r="164" spans="1:6" x14ac:dyDescent="0.25">
      <c r="A164" s="6">
        <v>45119</v>
      </c>
      <c r="B164" t="s">
        <v>51</v>
      </c>
      <c r="C164">
        <f t="shared" si="28"/>
        <v>1141</v>
      </c>
      <c r="D164" t="s">
        <v>5</v>
      </c>
      <c r="E164">
        <v>7.5</v>
      </c>
      <c r="F164">
        <v>8557.5</v>
      </c>
    </row>
    <row r="165" spans="1:6" x14ac:dyDescent="0.25">
      <c r="A165" s="6">
        <v>45127</v>
      </c>
      <c r="B165" t="s">
        <v>44</v>
      </c>
      <c r="C165">
        <f t="shared" si="28"/>
        <v>3537</v>
      </c>
      <c r="D165" t="s">
        <v>5</v>
      </c>
      <c r="E165">
        <v>7.75</v>
      </c>
      <c r="F165">
        <v>27411.75</v>
      </c>
    </row>
    <row r="166" spans="1:6" x14ac:dyDescent="0.25">
      <c r="A166" s="6">
        <v>45131</v>
      </c>
      <c r="B166" t="s">
        <v>45</v>
      </c>
      <c r="C166">
        <f t="shared" si="28"/>
        <v>1812.9995875640748</v>
      </c>
      <c r="D166" t="s">
        <v>5</v>
      </c>
      <c r="E166">
        <v>8.1467200000000002</v>
      </c>
      <c r="F166">
        <v>14770</v>
      </c>
    </row>
    <row r="167" spans="1:6" x14ac:dyDescent="0.25">
      <c r="A167" s="6">
        <v>45135</v>
      </c>
      <c r="B167" t="s">
        <v>67</v>
      </c>
      <c r="C167">
        <f t="shared" si="28"/>
        <v>101.00000758923038</v>
      </c>
      <c r="D167" t="s">
        <v>5</v>
      </c>
      <c r="E167">
        <v>7.9059400000000002</v>
      </c>
      <c r="F167">
        <v>798.5</v>
      </c>
    </row>
    <row r="168" spans="1:6" x14ac:dyDescent="0.25">
      <c r="A168" s="6">
        <v>45135</v>
      </c>
      <c r="B168" t="s">
        <v>44</v>
      </c>
      <c r="C168">
        <f t="shared" si="28"/>
        <v>3490</v>
      </c>
      <c r="D168" t="s">
        <v>5</v>
      </c>
      <c r="E168">
        <v>7.75</v>
      </c>
      <c r="F168">
        <v>27047.5</v>
      </c>
    </row>
    <row r="169" spans="1:6" x14ac:dyDescent="0.25">
      <c r="A169" s="6">
        <v>45139</v>
      </c>
      <c r="B169" t="s">
        <v>63</v>
      </c>
      <c r="C169">
        <f t="shared" si="28"/>
        <v>1319.0007446054487</v>
      </c>
      <c r="D169" t="s">
        <v>5</v>
      </c>
      <c r="E169">
        <v>7.8162200000000004</v>
      </c>
      <c r="F169">
        <v>10309.6</v>
      </c>
    </row>
    <row r="170" spans="1:6" x14ac:dyDescent="0.25">
      <c r="A170" s="6">
        <v>45147</v>
      </c>
      <c r="B170" t="s">
        <v>51</v>
      </c>
      <c r="C170">
        <f t="shared" si="28"/>
        <v>285</v>
      </c>
      <c r="D170" t="s">
        <v>5</v>
      </c>
      <c r="E170">
        <v>7.5</v>
      </c>
      <c r="F170">
        <v>2137.5</v>
      </c>
    </row>
    <row r="171" spans="1:6" x14ac:dyDescent="0.25">
      <c r="A171" s="6">
        <v>45159</v>
      </c>
      <c r="B171" t="s">
        <v>62</v>
      </c>
      <c r="C171">
        <f t="shared" si="28"/>
        <v>0.18699995044501314</v>
      </c>
      <c r="D171" t="s">
        <v>5</v>
      </c>
      <c r="E171">
        <v>10.69519</v>
      </c>
      <c r="F171">
        <v>2</v>
      </c>
    </row>
    <row r="172" spans="1:6" x14ac:dyDescent="0.25">
      <c r="A172" s="6">
        <v>45174</v>
      </c>
      <c r="B172" t="s">
        <v>64</v>
      </c>
      <c r="C172">
        <f t="shared" si="28"/>
        <v>2803.9995228229404</v>
      </c>
      <c r="D172" t="s">
        <v>5</v>
      </c>
      <c r="E172">
        <v>8.2149800000000006</v>
      </c>
      <c r="F172">
        <v>23034.799999999999</v>
      </c>
    </row>
    <row r="173" spans="1:6" x14ac:dyDescent="0.25">
      <c r="A173" s="6">
        <v>45188</v>
      </c>
      <c r="B173" t="s">
        <v>51</v>
      </c>
      <c r="C173">
        <f t="shared" si="28"/>
        <v>1658</v>
      </c>
      <c r="D173" t="s">
        <v>5</v>
      </c>
      <c r="E173">
        <v>7.5</v>
      </c>
      <c r="F173">
        <v>12435</v>
      </c>
    </row>
    <row r="174" spans="1:6" x14ac:dyDescent="0.25">
      <c r="A174" s="6">
        <v>45195</v>
      </c>
      <c r="B174" t="s">
        <v>44</v>
      </c>
      <c r="C174">
        <f t="shared" si="28"/>
        <v>6625</v>
      </c>
      <c r="D174" t="s">
        <v>5</v>
      </c>
      <c r="E174">
        <v>7.75</v>
      </c>
      <c r="F174">
        <v>51343.75</v>
      </c>
    </row>
    <row r="175" spans="1:6" x14ac:dyDescent="0.25">
      <c r="A175" s="6">
        <v>45209</v>
      </c>
      <c r="B175" t="s">
        <v>65</v>
      </c>
      <c r="C175">
        <f t="shared" si="28"/>
        <v>318.00011609233212</v>
      </c>
      <c r="D175" t="s">
        <v>5</v>
      </c>
      <c r="E175">
        <v>7.7524499999999996</v>
      </c>
      <c r="F175">
        <v>2465.2800000000002</v>
      </c>
    </row>
    <row r="176" spans="1:6" x14ac:dyDescent="0.25">
      <c r="A176" s="6">
        <v>45216</v>
      </c>
      <c r="B176" t="s">
        <v>62</v>
      </c>
      <c r="C176">
        <f t="shared" si="28"/>
        <v>6.0000034285733879</v>
      </c>
      <c r="D176" t="s">
        <v>5</v>
      </c>
      <c r="E176">
        <v>5.8333300000000001</v>
      </c>
      <c r="F176">
        <v>35</v>
      </c>
    </row>
    <row r="177" spans="1:6" x14ac:dyDescent="0.25">
      <c r="A177" s="6">
        <v>45218</v>
      </c>
      <c r="B177" t="s">
        <v>52</v>
      </c>
      <c r="C177">
        <f t="shared" si="28"/>
        <v>177.99997620718781</v>
      </c>
      <c r="D177" t="s">
        <v>5</v>
      </c>
      <c r="E177">
        <v>6.7247199999999996</v>
      </c>
      <c r="F177">
        <v>1197</v>
      </c>
    </row>
    <row r="178" spans="1:6" x14ac:dyDescent="0.25">
      <c r="A178" s="6">
        <v>45229</v>
      </c>
      <c r="B178" t="s">
        <v>62</v>
      </c>
      <c r="C178">
        <f t="shared" si="28"/>
        <v>7</v>
      </c>
      <c r="D178" t="s">
        <v>5</v>
      </c>
      <c r="E178">
        <v>6</v>
      </c>
      <c r="F178">
        <v>42</v>
      </c>
    </row>
    <row r="179" spans="1:6" x14ac:dyDescent="0.25">
      <c r="A179" s="6">
        <v>45231</v>
      </c>
      <c r="B179" t="s">
        <v>50</v>
      </c>
      <c r="C179">
        <f t="shared" si="28"/>
        <v>3807</v>
      </c>
      <c r="D179" t="s">
        <v>5</v>
      </c>
      <c r="E179">
        <v>7.5</v>
      </c>
      <c r="F179">
        <v>28552.5</v>
      </c>
    </row>
    <row r="180" spans="1:6" x14ac:dyDescent="0.25">
      <c r="A180" s="6">
        <v>45278</v>
      </c>
      <c r="B180" t="s">
        <v>51</v>
      </c>
      <c r="C180">
        <f t="shared" si="28"/>
        <v>1702.9996634318732</v>
      </c>
      <c r="D180" t="s">
        <v>5</v>
      </c>
      <c r="E180">
        <v>7.1307999999999998</v>
      </c>
      <c r="F180">
        <v>12143.75</v>
      </c>
    </row>
    <row r="181" spans="1:6" x14ac:dyDescent="0.25">
      <c r="A181" s="6">
        <v>45322</v>
      </c>
      <c r="B181" t="s">
        <v>45</v>
      </c>
      <c r="C181">
        <f t="shared" si="28"/>
        <v>6553.0000000000009</v>
      </c>
      <c r="D181" t="s">
        <v>5</v>
      </c>
      <c r="E181">
        <v>7.35</v>
      </c>
      <c r="F181">
        <v>48164.55</v>
      </c>
    </row>
    <row r="182" spans="1:6" x14ac:dyDescent="0.25">
      <c r="A182" s="6">
        <v>45323</v>
      </c>
      <c r="B182" t="s">
        <v>51</v>
      </c>
      <c r="C182">
        <f t="shared" si="28"/>
        <v>1098</v>
      </c>
      <c r="D182" t="s">
        <v>5</v>
      </c>
      <c r="E182">
        <v>7</v>
      </c>
      <c r="F182">
        <v>7686</v>
      </c>
    </row>
    <row r="183" spans="1:6" x14ac:dyDescent="0.25">
      <c r="A183" s="6">
        <v>45328</v>
      </c>
      <c r="B183" t="s">
        <v>63</v>
      </c>
      <c r="C183">
        <f t="shared" si="28"/>
        <v>536.99962392534485</v>
      </c>
      <c r="D183" t="s">
        <v>5</v>
      </c>
      <c r="E183">
        <v>6.8603399999999999</v>
      </c>
      <c r="F183">
        <v>3684</v>
      </c>
    </row>
    <row r="184" spans="1:6" x14ac:dyDescent="0.25">
      <c r="A184" s="6">
        <v>45365</v>
      </c>
      <c r="B184" t="s">
        <v>66</v>
      </c>
      <c r="C184">
        <f t="shared" si="28"/>
        <v>698</v>
      </c>
      <c r="D184" t="s">
        <v>5</v>
      </c>
      <c r="E184">
        <v>7.5</v>
      </c>
      <c r="F184">
        <v>5235</v>
      </c>
    </row>
    <row r="185" spans="1:6" x14ac:dyDescent="0.25">
      <c r="A185" s="6">
        <v>45379</v>
      </c>
      <c r="B185" t="s">
        <v>51</v>
      </c>
      <c r="C185">
        <f t="shared" si="28"/>
        <v>2029</v>
      </c>
      <c r="D185" t="s">
        <v>5</v>
      </c>
      <c r="E185">
        <v>7.5</v>
      </c>
      <c r="F185">
        <v>15217.5</v>
      </c>
    </row>
    <row r="186" spans="1:6" x14ac:dyDescent="0.25">
      <c r="A186" s="6">
        <v>45397</v>
      </c>
      <c r="B186" t="s">
        <v>52</v>
      </c>
      <c r="C186">
        <f t="shared" si="28"/>
        <v>561</v>
      </c>
      <c r="D186" t="s">
        <v>5</v>
      </c>
      <c r="E186">
        <v>7.25</v>
      </c>
      <c r="F186">
        <v>4067.25</v>
      </c>
    </row>
    <row r="187" spans="1:6" x14ac:dyDescent="0.25">
      <c r="A187" s="6">
        <v>45398</v>
      </c>
      <c r="B187" t="s">
        <v>62</v>
      </c>
      <c r="C187">
        <f t="shared" si="28"/>
        <v>24</v>
      </c>
      <c r="D187" t="s">
        <v>5</v>
      </c>
      <c r="E187">
        <v>5.25</v>
      </c>
      <c r="F187">
        <v>126</v>
      </c>
    </row>
    <row r="188" spans="1:6" x14ac:dyDescent="0.25">
      <c r="A188" s="6">
        <v>45426</v>
      </c>
      <c r="B188" t="s">
        <v>51</v>
      </c>
      <c r="C188">
        <f t="shared" si="28"/>
        <v>2056</v>
      </c>
      <c r="D188" t="s">
        <v>5</v>
      </c>
      <c r="E188">
        <v>7.5</v>
      </c>
      <c r="F188">
        <v>15420</v>
      </c>
    </row>
    <row r="189" spans="1:6" x14ac:dyDescent="0.25">
      <c r="A189" s="6">
        <v>45433</v>
      </c>
      <c r="B189" t="s">
        <v>44</v>
      </c>
      <c r="C189">
        <f t="shared" si="28"/>
        <v>522</v>
      </c>
      <c r="D189" t="s">
        <v>5</v>
      </c>
      <c r="E189">
        <v>7.5</v>
      </c>
      <c r="F189">
        <v>3915</v>
      </c>
    </row>
    <row r="190" spans="1:6" x14ac:dyDescent="0.25">
      <c r="A190" s="6">
        <v>45433</v>
      </c>
      <c r="B190" t="s">
        <v>44</v>
      </c>
      <c r="C190">
        <f t="shared" si="28"/>
        <v>1161</v>
      </c>
      <c r="D190" t="s">
        <v>5</v>
      </c>
      <c r="E190">
        <v>7.5</v>
      </c>
      <c r="F190">
        <v>8707.5</v>
      </c>
    </row>
    <row r="191" spans="1:6" x14ac:dyDescent="0.25">
      <c r="A191" s="6">
        <v>45449</v>
      </c>
      <c r="B191" t="s">
        <v>51</v>
      </c>
      <c r="C191">
        <f t="shared" si="28"/>
        <v>704</v>
      </c>
      <c r="D191" t="s">
        <v>5</v>
      </c>
      <c r="E191">
        <v>7.5</v>
      </c>
      <c r="F191">
        <v>5280</v>
      </c>
    </row>
    <row r="192" spans="1:6" x14ac:dyDescent="0.25">
      <c r="A192" s="6">
        <v>45463</v>
      </c>
      <c r="B192" t="s">
        <v>44</v>
      </c>
      <c r="C192">
        <f t="shared" si="28"/>
        <v>1093</v>
      </c>
      <c r="D192" t="s">
        <v>5</v>
      </c>
      <c r="E192">
        <v>7.5</v>
      </c>
      <c r="F192">
        <v>8197.5</v>
      </c>
    </row>
    <row r="193" spans="1:6" x14ac:dyDescent="0.25">
      <c r="A193" s="6">
        <v>45469</v>
      </c>
      <c r="B193" t="s">
        <v>51</v>
      </c>
      <c r="C193">
        <f t="shared" si="28"/>
        <v>828</v>
      </c>
      <c r="D193" t="s">
        <v>5</v>
      </c>
      <c r="E193">
        <v>7.5</v>
      </c>
      <c r="F193">
        <v>6210</v>
      </c>
    </row>
    <row r="194" spans="1:6" x14ac:dyDescent="0.25">
      <c r="A194" s="6">
        <v>45471</v>
      </c>
      <c r="B194" t="s">
        <v>45</v>
      </c>
      <c r="C194">
        <f t="shared" si="28"/>
        <v>775.99968265128439</v>
      </c>
      <c r="D194" t="s">
        <v>5</v>
      </c>
      <c r="E194">
        <v>7.3105700000000002</v>
      </c>
      <c r="F194">
        <v>5673</v>
      </c>
    </row>
    <row r="195" spans="1:6" x14ac:dyDescent="0.25">
      <c r="A195" s="6">
        <v>45488</v>
      </c>
      <c r="B195" t="s">
        <v>51</v>
      </c>
      <c r="C195">
        <f t="shared" ref="C195:C222" si="29">F195/E195</f>
        <v>503</v>
      </c>
      <c r="D195" t="s">
        <v>5</v>
      </c>
      <c r="E195">
        <v>7.5</v>
      </c>
      <c r="F195">
        <v>3772.5</v>
      </c>
    </row>
    <row r="196" spans="1:6" x14ac:dyDescent="0.25">
      <c r="A196" s="6">
        <v>45502</v>
      </c>
      <c r="B196" t="s">
        <v>68</v>
      </c>
      <c r="C196">
        <f t="shared" si="29"/>
        <v>8</v>
      </c>
      <c r="D196" t="s">
        <v>5</v>
      </c>
      <c r="E196">
        <v>6</v>
      </c>
      <c r="F196">
        <v>48</v>
      </c>
    </row>
    <row r="197" spans="1:6" x14ac:dyDescent="0.25">
      <c r="A197" s="6">
        <v>45503</v>
      </c>
      <c r="B197" t="s">
        <v>49</v>
      </c>
      <c r="C197">
        <f t="shared" si="29"/>
        <v>997</v>
      </c>
      <c r="D197" t="s">
        <v>5</v>
      </c>
      <c r="E197">
        <v>7.5</v>
      </c>
      <c r="F197">
        <v>7477.5</v>
      </c>
    </row>
    <row r="198" spans="1:6" x14ac:dyDescent="0.25">
      <c r="A198" s="6">
        <v>45510</v>
      </c>
      <c r="B198" t="s">
        <v>44</v>
      </c>
      <c r="C198">
        <f t="shared" si="29"/>
        <v>3019</v>
      </c>
      <c r="D198" t="s">
        <v>5</v>
      </c>
      <c r="E198">
        <v>7.5</v>
      </c>
      <c r="F198">
        <v>22642.5</v>
      </c>
    </row>
    <row r="199" spans="1:6" x14ac:dyDescent="0.25">
      <c r="A199" s="6">
        <v>45516</v>
      </c>
      <c r="B199" t="s">
        <v>51</v>
      </c>
      <c r="C199">
        <f t="shared" si="29"/>
        <v>2138.5</v>
      </c>
      <c r="D199" t="s">
        <v>5</v>
      </c>
      <c r="E199">
        <v>7.5</v>
      </c>
      <c r="F199">
        <v>16038.75</v>
      </c>
    </row>
    <row r="200" spans="1:6" x14ac:dyDescent="0.25">
      <c r="A200" s="6">
        <v>45531</v>
      </c>
      <c r="B200" t="s">
        <v>52</v>
      </c>
      <c r="C200">
        <f t="shared" si="29"/>
        <v>730</v>
      </c>
      <c r="D200" t="s">
        <v>5</v>
      </c>
      <c r="E200">
        <v>7.25</v>
      </c>
      <c r="F200">
        <v>5292.5</v>
      </c>
    </row>
    <row r="201" spans="1:6" x14ac:dyDescent="0.25">
      <c r="A201" s="6">
        <v>45533</v>
      </c>
      <c r="B201" t="s">
        <v>66</v>
      </c>
      <c r="C201">
        <f t="shared" si="29"/>
        <v>741</v>
      </c>
      <c r="D201" t="s">
        <v>5</v>
      </c>
      <c r="E201">
        <v>7.75</v>
      </c>
      <c r="F201">
        <v>5742.75</v>
      </c>
    </row>
    <row r="202" spans="1:6" x14ac:dyDescent="0.25">
      <c r="A202" s="6">
        <v>45533</v>
      </c>
      <c r="B202" t="s">
        <v>49</v>
      </c>
      <c r="C202">
        <f t="shared" si="29"/>
        <v>927.00035112031412</v>
      </c>
      <c r="D202" t="s">
        <v>5</v>
      </c>
      <c r="E202">
        <v>7.49031</v>
      </c>
      <c r="F202">
        <v>6943.52</v>
      </c>
    </row>
    <row r="203" spans="1:6" x14ac:dyDescent="0.25">
      <c r="A203" s="6">
        <v>45533</v>
      </c>
      <c r="B203" t="s">
        <v>63</v>
      </c>
      <c r="C203">
        <f t="shared" si="29"/>
        <v>1041</v>
      </c>
      <c r="D203" t="s">
        <v>5</v>
      </c>
      <c r="E203">
        <v>7</v>
      </c>
      <c r="F203">
        <v>7287</v>
      </c>
    </row>
    <row r="204" spans="1:6" x14ac:dyDescent="0.25">
      <c r="A204" s="6">
        <v>45540</v>
      </c>
      <c r="B204" t="s">
        <v>64</v>
      </c>
      <c r="C204">
        <f t="shared" si="29"/>
        <v>1195</v>
      </c>
      <c r="D204" t="s">
        <v>5</v>
      </c>
      <c r="E204">
        <v>7.5</v>
      </c>
      <c r="F204">
        <v>8962.5</v>
      </c>
    </row>
    <row r="205" spans="1:6" x14ac:dyDescent="0.25">
      <c r="A205" s="6">
        <v>45546</v>
      </c>
      <c r="B205" t="s">
        <v>68</v>
      </c>
      <c r="C205">
        <f t="shared" si="29"/>
        <v>10.999994908981066</v>
      </c>
      <c r="D205" t="s">
        <v>5</v>
      </c>
      <c r="E205">
        <v>5.8927300000000002</v>
      </c>
      <c r="F205">
        <v>64.819999999999993</v>
      </c>
    </row>
    <row r="206" spans="1:6" x14ac:dyDescent="0.25">
      <c r="A206" s="6">
        <v>45551</v>
      </c>
      <c r="B206" t="s">
        <v>62</v>
      </c>
      <c r="C206">
        <f t="shared" si="29"/>
        <v>6</v>
      </c>
      <c r="D206" t="s">
        <v>5</v>
      </c>
      <c r="E206">
        <v>5.5</v>
      </c>
      <c r="F206">
        <v>33</v>
      </c>
    </row>
    <row r="207" spans="1:6" x14ac:dyDescent="0.25">
      <c r="A207" s="6">
        <v>45551</v>
      </c>
      <c r="B207" t="s">
        <v>67</v>
      </c>
      <c r="C207">
        <f t="shared" si="29"/>
        <v>203</v>
      </c>
      <c r="D207" t="s">
        <v>5</v>
      </c>
      <c r="E207">
        <v>7.5</v>
      </c>
      <c r="F207">
        <v>1522.5</v>
      </c>
    </row>
    <row r="208" spans="1:6" x14ac:dyDescent="0.25">
      <c r="A208" s="6">
        <v>45551</v>
      </c>
      <c r="B208" t="s">
        <v>44</v>
      </c>
      <c r="C208">
        <f t="shared" si="29"/>
        <v>272</v>
      </c>
      <c r="D208" t="s">
        <v>5</v>
      </c>
      <c r="E208">
        <v>7.5</v>
      </c>
      <c r="F208">
        <v>2040</v>
      </c>
    </row>
    <row r="209" spans="1:6" x14ac:dyDescent="0.25">
      <c r="A209" s="6">
        <v>45551</v>
      </c>
      <c r="B209" t="s">
        <v>44</v>
      </c>
      <c r="C209">
        <f t="shared" si="29"/>
        <v>3355</v>
      </c>
      <c r="D209" t="s">
        <v>5</v>
      </c>
      <c r="E209">
        <v>7.5</v>
      </c>
      <c r="F209">
        <v>25162.5</v>
      </c>
    </row>
    <row r="210" spans="1:6" x14ac:dyDescent="0.25">
      <c r="A210" s="6">
        <v>45558</v>
      </c>
      <c r="B210" t="s">
        <v>62</v>
      </c>
      <c r="C210">
        <f t="shared" si="29"/>
        <v>20</v>
      </c>
      <c r="D210" t="s">
        <v>5</v>
      </c>
      <c r="E210">
        <v>5.4565000000000001</v>
      </c>
      <c r="F210">
        <v>109.13</v>
      </c>
    </row>
    <row r="211" spans="1:6" x14ac:dyDescent="0.25">
      <c r="A211" s="6">
        <v>45559</v>
      </c>
      <c r="B211" t="s">
        <v>51</v>
      </c>
      <c r="C211">
        <f t="shared" si="29"/>
        <v>5438</v>
      </c>
      <c r="D211" t="s">
        <v>5</v>
      </c>
      <c r="E211">
        <v>7.75</v>
      </c>
      <c r="F211">
        <v>42144.5</v>
      </c>
    </row>
    <row r="212" spans="1:6" x14ac:dyDescent="0.25">
      <c r="A212" s="6">
        <v>45573</v>
      </c>
      <c r="B212" t="s">
        <v>49</v>
      </c>
      <c r="C212">
        <f t="shared" si="29"/>
        <v>3049</v>
      </c>
      <c r="D212" t="s">
        <v>5</v>
      </c>
      <c r="E212">
        <v>7.75</v>
      </c>
      <c r="F212">
        <v>23629.75</v>
      </c>
    </row>
    <row r="213" spans="1:6" x14ac:dyDescent="0.25">
      <c r="A213" s="6">
        <v>45579</v>
      </c>
      <c r="B213" t="s">
        <v>62</v>
      </c>
      <c r="C213">
        <f t="shared" si="29"/>
        <v>4</v>
      </c>
      <c r="D213" t="s">
        <v>5</v>
      </c>
      <c r="E213">
        <v>6.45</v>
      </c>
      <c r="F213">
        <v>25.8</v>
      </c>
    </row>
    <row r="214" spans="1:6" x14ac:dyDescent="0.25">
      <c r="A214" s="6">
        <v>45583</v>
      </c>
      <c r="B214" t="s">
        <v>44</v>
      </c>
      <c r="C214">
        <f t="shared" si="29"/>
        <v>1976</v>
      </c>
      <c r="D214" t="s">
        <v>5</v>
      </c>
      <c r="E214">
        <v>7.25</v>
      </c>
      <c r="F214">
        <v>14326</v>
      </c>
    </row>
    <row r="215" spans="1:6" x14ac:dyDescent="0.25">
      <c r="A215" s="6">
        <v>45583</v>
      </c>
      <c r="B215" t="s">
        <v>44</v>
      </c>
      <c r="C215">
        <f t="shared" si="29"/>
        <v>2076</v>
      </c>
      <c r="D215" t="s">
        <v>5</v>
      </c>
      <c r="E215">
        <v>7.5</v>
      </c>
      <c r="F215">
        <v>15570</v>
      </c>
    </row>
    <row r="216" spans="1:6" x14ac:dyDescent="0.25">
      <c r="A216" s="6">
        <v>45586</v>
      </c>
      <c r="B216" t="s">
        <v>52</v>
      </c>
      <c r="C216">
        <f t="shared" si="29"/>
        <v>177</v>
      </c>
      <c r="D216" t="s">
        <v>5</v>
      </c>
      <c r="E216">
        <v>7.25</v>
      </c>
      <c r="F216">
        <v>1283.25</v>
      </c>
    </row>
    <row r="217" spans="1:6" x14ac:dyDescent="0.25">
      <c r="A217" s="6">
        <v>45595</v>
      </c>
      <c r="B217" t="s">
        <v>51</v>
      </c>
      <c r="C217">
        <f t="shared" si="29"/>
        <v>5757</v>
      </c>
      <c r="D217" t="s">
        <v>5</v>
      </c>
      <c r="E217">
        <v>7.75</v>
      </c>
      <c r="F217">
        <v>44616.75</v>
      </c>
    </row>
    <row r="218" spans="1:6" x14ac:dyDescent="0.25">
      <c r="A218" s="6">
        <v>45614</v>
      </c>
      <c r="B218" t="s">
        <v>65</v>
      </c>
      <c r="C218">
        <f t="shared" si="29"/>
        <v>105</v>
      </c>
      <c r="D218" t="s">
        <v>5</v>
      </c>
      <c r="E218">
        <v>7</v>
      </c>
      <c r="F218">
        <v>735</v>
      </c>
    </row>
    <row r="219" spans="1:6" x14ac:dyDescent="0.25">
      <c r="A219" s="6">
        <v>45614</v>
      </c>
      <c r="B219" t="s">
        <v>63</v>
      </c>
      <c r="C219">
        <f t="shared" si="29"/>
        <v>1209</v>
      </c>
      <c r="D219" t="s">
        <v>5</v>
      </c>
      <c r="E219">
        <v>7</v>
      </c>
      <c r="F219">
        <v>8463</v>
      </c>
    </row>
    <row r="220" spans="1:6" x14ac:dyDescent="0.25">
      <c r="A220" s="6">
        <v>45614</v>
      </c>
      <c r="B220" t="s">
        <v>49</v>
      </c>
      <c r="C220">
        <f t="shared" si="29"/>
        <v>1551</v>
      </c>
      <c r="D220" t="s">
        <v>5</v>
      </c>
      <c r="E220">
        <v>7.5</v>
      </c>
      <c r="F220">
        <v>11632.5</v>
      </c>
    </row>
    <row r="221" spans="1:6" x14ac:dyDescent="0.25">
      <c r="A221" s="6">
        <v>45614</v>
      </c>
      <c r="B221" t="s">
        <v>44</v>
      </c>
      <c r="C221">
        <f t="shared" si="29"/>
        <v>2200</v>
      </c>
      <c r="D221" t="s">
        <v>5</v>
      </c>
      <c r="E221">
        <v>7.5</v>
      </c>
      <c r="F221">
        <v>16500</v>
      </c>
    </row>
    <row r="222" spans="1:6" x14ac:dyDescent="0.25">
      <c r="A222" s="6">
        <v>45643</v>
      </c>
      <c r="B222" t="s">
        <v>51</v>
      </c>
      <c r="C222">
        <f t="shared" si="29"/>
        <v>2804</v>
      </c>
      <c r="D222" t="s">
        <v>5</v>
      </c>
      <c r="E222">
        <v>7.25</v>
      </c>
      <c r="F222">
        <v>20329</v>
      </c>
    </row>
    <row r="223" spans="1:6" x14ac:dyDescent="0.25">
      <c r="A223" s="5"/>
      <c r="C223" s="19"/>
    </row>
    <row r="224" spans="1:6" x14ac:dyDescent="0.25">
      <c r="A224" s="5"/>
      <c r="C224" s="19"/>
    </row>
    <row r="225" spans="1:3" x14ac:dyDescent="0.25">
      <c r="A225" s="5"/>
      <c r="C225" s="19"/>
    </row>
  </sheetData>
  <autoFilter ref="A2:F226" xr:uid="{D8D206D9-7EE4-4C83-A4FE-C4F4BF8AF5F3}"/>
  <mergeCells count="4">
    <mergeCell ref="I1:T1"/>
    <mergeCell ref="A1:F1"/>
    <mergeCell ref="H22:U22"/>
    <mergeCell ref="I16:T17"/>
  </mergeCells>
  <phoneticPr fontId="18" type="noConversion"/>
  <conditionalFormatting sqref="A1:F1">
    <cfRule type="containsBlanks" dxfId="25" priority="1">
      <formula>LEN(TRIM(A1))=0</formula>
    </cfRule>
  </conditionalFormatting>
  <dataValidations count="1">
    <dataValidation type="list" allowBlank="1" showInputMessage="1" showErrorMessage="1" sqref="I1:T1" xr:uid="{73922D3C-D1A1-4C12-8308-82DA76D61079}">
      <formula1>$B$3:$B$500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77653-3AD4-4D01-8699-C028EAAFBC16}">
  <dimension ref="A1:L456"/>
  <sheetViews>
    <sheetView workbookViewId="0">
      <selection activeCell="A18" sqref="A18"/>
    </sheetView>
  </sheetViews>
  <sheetFormatPr defaultColWidth="8.85546875" defaultRowHeight="15" x14ac:dyDescent="0.25"/>
  <cols>
    <col min="12" max="12" width="16.28515625" bestFit="1" customWidth="1"/>
  </cols>
  <sheetData>
    <row r="1" spans="1:1" x14ac:dyDescent="0.25">
      <c r="A1" t="s">
        <v>1</v>
      </c>
    </row>
    <row r="2" spans="1:1" x14ac:dyDescent="0.25">
      <c r="A2">
        <v>39</v>
      </c>
    </row>
    <row r="3" spans="1:1" x14ac:dyDescent="0.25">
      <c r="A3">
        <v>939</v>
      </c>
    </row>
    <row r="4" spans="1:1" x14ac:dyDescent="0.25">
      <c r="A4">
        <v>6861.9983165870717</v>
      </c>
    </row>
    <row r="5" spans="1:1" x14ac:dyDescent="0.25">
      <c r="A5">
        <v>1411</v>
      </c>
    </row>
    <row r="6" spans="1:1" x14ac:dyDescent="0.25">
      <c r="A6">
        <v>599</v>
      </c>
    </row>
    <row r="7" spans="1:1" x14ac:dyDescent="0.25">
      <c r="A7">
        <v>547</v>
      </c>
    </row>
    <row r="8" spans="1:1" x14ac:dyDescent="0.25">
      <c r="A8">
        <v>1256.0000000000002</v>
      </c>
    </row>
    <row r="9" spans="1:1" x14ac:dyDescent="0.25">
      <c r="A9">
        <v>171</v>
      </c>
    </row>
    <row r="10" spans="1:1" x14ac:dyDescent="0.25">
      <c r="A10">
        <v>1679.999724024686</v>
      </c>
    </row>
    <row r="11" spans="1:1" x14ac:dyDescent="0.25">
      <c r="A11">
        <v>771</v>
      </c>
    </row>
    <row r="12" spans="1:1" x14ac:dyDescent="0.25">
      <c r="A12">
        <v>2127</v>
      </c>
    </row>
    <row r="13" spans="1:1" x14ac:dyDescent="0.25">
      <c r="A13">
        <v>10.999999999999998</v>
      </c>
    </row>
    <row r="14" spans="1:1" x14ac:dyDescent="0.25">
      <c r="A14">
        <v>47</v>
      </c>
    </row>
    <row r="15" spans="1:1" x14ac:dyDescent="0.25">
      <c r="A15">
        <v>898</v>
      </c>
    </row>
    <row r="16" spans="1:1" x14ac:dyDescent="0.25">
      <c r="A16">
        <v>975</v>
      </c>
    </row>
    <row r="17" spans="1:1" x14ac:dyDescent="0.25">
      <c r="A17">
        <v>3776</v>
      </c>
    </row>
    <row r="18" spans="1:1" x14ac:dyDescent="0.25">
      <c r="A18">
        <v>943</v>
      </c>
    </row>
    <row r="19" spans="1:1" x14ac:dyDescent="0.25">
      <c r="A19">
        <v>815</v>
      </c>
    </row>
    <row r="20" spans="1:1" x14ac:dyDescent="0.25">
      <c r="A20">
        <v>1047</v>
      </c>
    </row>
    <row r="21" spans="1:1" x14ac:dyDescent="0.25">
      <c r="A21">
        <v>221.99985969725788</v>
      </c>
    </row>
    <row r="22" spans="1:1" x14ac:dyDescent="0.25">
      <c r="A22">
        <v>131</v>
      </c>
    </row>
    <row r="23" spans="1:1" x14ac:dyDescent="0.25">
      <c r="A23">
        <v>1040</v>
      </c>
    </row>
    <row r="24" spans="1:1" x14ac:dyDescent="0.25">
      <c r="A24">
        <v>1618</v>
      </c>
    </row>
    <row r="25" spans="1:1" x14ac:dyDescent="0.25">
      <c r="A25">
        <v>1083</v>
      </c>
    </row>
    <row r="26" spans="1:1" x14ac:dyDescent="0.25">
      <c r="A26">
        <v>4171</v>
      </c>
    </row>
    <row r="27" spans="1:1" x14ac:dyDescent="0.25">
      <c r="A27">
        <v>122</v>
      </c>
    </row>
    <row r="28" spans="1:1" x14ac:dyDescent="0.25">
      <c r="A28">
        <v>1134</v>
      </c>
    </row>
    <row r="29" spans="1:1" x14ac:dyDescent="0.25">
      <c r="A29">
        <v>1885</v>
      </c>
    </row>
    <row r="30" spans="1:1" x14ac:dyDescent="0.25">
      <c r="A30">
        <v>860</v>
      </c>
    </row>
    <row r="31" spans="1:1" x14ac:dyDescent="0.25">
      <c r="A31">
        <v>3419</v>
      </c>
    </row>
    <row r="32" spans="1:1" x14ac:dyDescent="0.25">
      <c r="A32">
        <v>165</v>
      </c>
    </row>
    <row r="33" spans="1:1" x14ac:dyDescent="0.25">
      <c r="A33">
        <v>3674</v>
      </c>
    </row>
    <row r="34" spans="1:1" x14ac:dyDescent="0.25">
      <c r="A34">
        <v>31</v>
      </c>
    </row>
    <row r="35" spans="1:1" x14ac:dyDescent="0.25">
      <c r="A35">
        <v>632</v>
      </c>
    </row>
    <row r="36" spans="1:1" x14ac:dyDescent="0.25">
      <c r="A36">
        <v>201</v>
      </c>
    </row>
    <row r="37" spans="1:1" x14ac:dyDescent="0.25">
      <c r="A37">
        <v>5485</v>
      </c>
    </row>
    <row r="38" spans="1:1" x14ac:dyDescent="0.25">
      <c r="A38">
        <v>3985</v>
      </c>
    </row>
    <row r="39" spans="1:1" x14ac:dyDescent="0.25">
      <c r="A39">
        <v>100</v>
      </c>
    </row>
    <row r="40" spans="1:1" x14ac:dyDescent="0.25">
      <c r="A40">
        <v>2973</v>
      </c>
    </row>
    <row r="41" spans="1:1" x14ac:dyDescent="0.25">
      <c r="A41">
        <v>2742.0018147280189</v>
      </c>
    </row>
    <row r="42" spans="1:1" x14ac:dyDescent="0.25">
      <c r="A42">
        <v>4429</v>
      </c>
    </row>
    <row r="43" spans="1:1" x14ac:dyDescent="0.25">
      <c r="A43">
        <v>340</v>
      </c>
    </row>
    <row r="44" spans="1:1" x14ac:dyDescent="0.25">
      <c r="A44">
        <v>2528</v>
      </c>
    </row>
    <row r="45" spans="1:1" x14ac:dyDescent="0.25">
      <c r="A45">
        <v>3213.9999999999995</v>
      </c>
    </row>
    <row r="46" spans="1:1" x14ac:dyDescent="0.25">
      <c r="A46">
        <v>58</v>
      </c>
    </row>
    <row r="47" spans="1:1" x14ac:dyDescent="0.25">
      <c r="A47">
        <v>801</v>
      </c>
    </row>
    <row r="48" spans="1:1" x14ac:dyDescent="0.25">
      <c r="A48">
        <v>607</v>
      </c>
    </row>
    <row r="49" spans="1:1" x14ac:dyDescent="0.25">
      <c r="A49">
        <v>1474.0002144312211</v>
      </c>
    </row>
    <row r="50" spans="1:1" x14ac:dyDescent="0.25">
      <c r="A50">
        <v>388.00007092156665</v>
      </c>
    </row>
    <row r="51" spans="1:1" x14ac:dyDescent="0.25">
      <c r="A51">
        <v>1247</v>
      </c>
    </row>
    <row r="52" spans="1:1" x14ac:dyDescent="0.25">
      <c r="A52">
        <v>277</v>
      </c>
    </row>
    <row r="53" spans="1:1" x14ac:dyDescent="0.25">
      <c r="A53">
        <v>1832</v>
      </c>
    </row>
    <row r="54" spans="1:1" x14ac:dyDescent="0.25">
      <c r="A54">
        <v>3531</v>
      </c>
    </row>
    <row r="55" spans="1:1" x14ac:dyDescent="0.25">
      <c r="A55">
        <v>1133</v>
      </c>
    </row>
    <row r="56" spans="1:1" x14ac:dyDescent="0.25">
      <c r="A56">
        <v>1066</v>
      </c>
    </row>
    <row r="57" spans="1:1" x14ac:dyDescent="0.25">
      <c r="A57">
        <v>600</v>
      </c>
    </row>
    <row r="58" spans="1:1" x14ac:dyDescent="0.25">
      <c r="A58">
        <v>3295</v>
      </c>
    </row>
    <row r="59" spans="1:1" x14ac:dyDescent="0.25">
      <c r="A59">
        <v>480</v>
      </c>
    </row>
    <row r="60" spans="1:1" x14ac:dyDescent="0.25">
      <c r="A60">
        <v>699</v>
      </c>
    </row>
    <row r="61" spans="1:1" x14ac:dyDescent="0.25">
      <c r="A61">
        <v>302</v>
      </c>
    </row>
    <row r="62" spans="1:1" x14ac:dyDescent="0.25">
      <c r="A62">
        <v>153</v>
      </c>
    </row>
    <row r="63" spans="1:1" x14ac:dyDescent="0.25">
      <c r="A63">
        <v>127</v>
      </c>
    </row>
    <row r="64" spans="1:1" x14ac:dyDescent="0.25">
      <c r="A64">
        <v>456</v>
      </c>
    </row>
    <row r="65" spans="1:1" x14ac:dyDescent="0.25">
      <c r="A65">
        <v>202</v>
      </c>
    </row>
    <row r="66" spans="1:1" x14ac:dyDescent="0.25">
      <c r="A66">
        <v>171</v>
      </c>
    </row>
    <row r="67" spans="1:1" x14ac:dyDescent="0.25">
      <c r="A67">
        <v>204</v>
      </c>
    </row>
    <row r="68" spans="1:1" x14ac:dyDescent="0.25">
      <c r="A68">
        <v>1048.0003440387654</v>
      </c>
    </row>
    <row r="69" spans="1:1" x14ac:dyDescent="0.25">
      <c r="A69">
        <v>152</v>
      </c>
    </row>
    <row r="70" spans="1:1" x14ac:dyDescent="0.25">
      <c r="A70">
        <v>725</v>
      </c>
    </row>
    <row r="71" spans="1:1" x14ac:dyDescent="0.25">
      <c r="A71">
        <v>176</v>
      </c>
    </row>
    <row r="72" spans="1:1" x14ac:dyDescent="0.25">
      <c r="A72">
        <v>204</v>
      </c>
    </row>
    <row r="73" spans="1:1" x14ac:dyDescent="0.25">
      <c r="A73">
        <v>1856.0005057049843</v>
      </c>
    </row>
    <row r="74" spans="1:1" x14ac:dyDescent="0.25">
      <c r="A74">
        <v>208</v>
      </c>
    </row>
    <row r="75" spans="1:1" x14ac:dyDescent="0.25">
      <c r="A75">
        <v>145</v>
      </c>
    </row>
    <row r="76" spans="1:1" x14ac:dyDescent="0.25">
      <c r="A76">
        <v>147</v>
      </c>
    </row>
    <row r="77" spans="1:1" x14ac:dyDescent="0.25">
      <c r="A77">
        <v>1122</v>
      </c>
    </row>
    <row r="78" spans="1:1" x14ac:dyDescent="0.25">
      <c r="A78">
        <v>454</v>
      </c>
    </row>
    <row r="79" spans="1:1" x14ac:dyDescent="0.25">
      <c r="A79">
        <v>1125</v>
      </c>
    </row>
    <row r="80" spans="1:1" x14ac:dyDescent="0.25">
      <c r="A80">
        <v>205</v>
      </c>
    </row>
    <row r="81" spans="1:1" x14ac:dyDescent="0.25">
      <c r="A81">
        <v>1998.1999999999998</v>
      </c>
    </row>
    <row r="82" spans="1:1" x14ac:dyDescent="0.25">
      <c r="A82">
        <v>921</v>
      </c>
    </row>
    <row r="83" spans="1:1" x14ac:dyDescent="0.25">
      <c r="A83">
        <v>289</v>
      </c>
    </row>
    <row r="84" spans="1:1" x14ac:dyDescent="0.25">
      <c r="A84">
        <v>680</v>
      </c>
    </row>
    <row r="85" spans="1:1" x14ac:dyDescent="0.25">
      <c r="A85">
        <v>894</v>
      </c>
    </row>
    <row r="86" spans="1:1" x14ac:dyDescent="0.25">
      <c r="A86">
        <v>415</v>
      </c>
    </row>
    <row r="87" spans="1:1" x14ac:dyDescent="0.25">
      <c r="A87">
        <v>272.79999896273767</v>
      </c>
    </row>
    <row r="88" spans="1:1" x14ac:dyDescent="0.25">
      <c r="A88">
        <v>851</v>
      </c>
    </row>
    <row r="89" spans="1:1" x14ac:dyDescent="0.25">
      <c r="A89">
        <v>1560.0001038917865</v>
      </c>
    </row>
    <row r="90" spans="1:1" x14ac:dyDescent="0.25">
      <c r="A90">
        <v>3819</v>
      </c>
    </row>
    <row r="91" spans="1:1" x14ac:dyDescent="0.25">
      <c r="A91">
        <v>453</v>
      </c>
    </row>
    <row r="92" spans="1:1" x14ac:dyDescent="0.25">
      <c r="A92">
        <v>89</v>
      </c>
    </row>
    <row r="93" spans="1:1" x14ac:dyDescent="0.25">
      <c r="A93">
        <v>5.4000036802122064</v>
      </c>
    </row>
    <row r="94" spans="1:1" x14ac:dyDescent="0.25">
      <c r="A94">
        <v>237</v>
      </c>
    </row>
    <row r="95" spans="1:1" x14ac:dyDescent="0.25">
      <c r="A95">
        <v>5</v>
      </c>
    </row>
    <row r="96" spans="1:1" x14ac:dyDescent="0.25">
      <c r="A96">
        <v>3</v>
      </c>
    </row>
    <row r="97" spans="1:1" x14ac:dyDescent="0.25">
      <c r="A97">
        <v>2500</v>
      </c>
    </row>
    <row r="98" spans="1:1" x14ac:dyDescent="0.25">
      <c r="A98">
        <v>3334</v>
      </c>
    </row>
    <row r="99" spans="1:1" x14ac:dyDescent="0.25">
      <c r="A99">
        <v>3921</v>
      </c>
    </row>
    <row r="100" spans="1:1" x14ac:dyDescent="0.25">
      <c r="A100">
        <v>605</v>
      </c>
    </row>
    <row r="101" spans="1:1" x14ac:dyDescent="0.25">
      <c r="A101">
        <v>850</v>
      </c>
    </row>
    <row r="102" spans="1:1" x14ac:dyDescent="0.25">
      <c r="A102">
        <v>1126.9995152690258</v>
      </c>
    </row>
    <row r="103" spans="1:1" x14ac:dyDescent="0.25">
      <c r="A103">
        <v>2081</v>
      </c>
    </row>
    <row r="104" spans="1:1" x14ac:dyDescent="0.25">
      <c r="A104">
        <v>662.6</v>
      </c>
    </row>
    <row r="105" spans="1:1" x14ac:dyDescent="0.25">
      <c r="A105">
        <v>3812.2000000000003</v>
      </c>
    </row>
    <row r="106" spans="1:1" x14ac:dyDescent="0.25">
      <c r="A106">
        <v>1525.6000000000001</v>
      </c>
    </row>
    <row r="107" spans="1:1" x14ac:dyDescent="0.25">
      <c r="A107">
        <v>288</v>
      </c>
    </row>
    <row r="108" spans="1:1" x14ac:dyDescent="0.25">
      <c r="A108">
        <v>606</v>
      </c>
    </row>
    <row r="109" spans="1:1" x14ac:dyDescent="0.25">
      <c r="A109">
        <v>1411</v>
      </c>
    </row>
    <row r="110" spans="1:1" x14ac:dyDescent="0.25">
      <c r="A110">
        <v>1184.0000659101904</v>
      </c>
    </row>
    <row r="111" spans="1:1" x14ac:dyDescent="0.25">
      <c r="A111">
        <v>253</v>
      </c>
    </row>
    <row r="112" spans="1:1" x14ac:dyDescent="0.25">
      <c r="A112">
        <v>4</v>
      </c>
    </row>
    <row r="113" spans="1:1" x14ac:dyDescent="0.25">
      <c r="A113">
        <v>792</v>
      </c>
    </row>
    <row r="114" spans="1:1" x14ac:dyDescent="0.25">
      <c r="A114">
        <v>503</v>
      </c>
    </row>
    <row r="115" spans="1:1" x14ac:dyDescent="0.25">
      <c r="A115">
        <v>4</v>
      </c>
    </row>
    <row r="116" spans="1:1" x14ac:dyDescent="0.25">
      <c r="A116">
        <v>44</v>
      </c>
    </row>
    <row r="117" spans="1:1" x14ac:dyDescent="0.25">
      <c r="A117">
        <v>504</v>
      </c>
    </row>
    <row r="118" spans="1:1" x14ac:dyDescent="0.25">
      <c r="A118">
        <v>382</v>
      </c>
    </row>
    <row r="119" spans="1:1" x14ac:dyDescent="0.25">
      <c r="A119">
        <v>237.00006644861674</v>
      </c>
    </row>
    <row r="120" spans="1:1" x14ac:dyDescent="0.25">
      <c r="A120">
        <v>250</v>
      </c>
    </row>
    <row r="121" spans="1:1" x14ac:dyDescent="0.25">
      <c r="A121">
        <v>208</v>
      </c>
    </row>
    <row r="122" spans="1:1" x14ac:dyDescent="0.25">
      <c r="A122">
        <v>223</v>
      </c>
    </row>
    <row r="123" spans="1:1" x14ac:dyDescent="0.25">
      <c r="A123">
        <v>31.799996337173198</v>
      </c>
    </row>
    <row r="124" spans="1:1" x14ac:dyDescent="0.25">
      <c r="A124">
        <v>8940</v>
      </c>
    </row>
    <row r="125" spans="1:1" x14ac:dyDescent="0.25">
      <c r="A125">
        <v>2574</v>
      </c>
    </row>
    <row r="126" spans="1:1" x14ac:dyDescent="0.25">
      <c r="A126">
        <v>1476</v>
      </c>
    </row>
    <row r="127" spans="1:1" x14ac:dyDescent="0.25">
      <c r="A127">
        <v>218</v>
      </c>
    </row>
    <row r="128" spans="1:1" x14ac:dyDescent="0.25">
      <c r="A128">
        <v>4009</v>
      </c>
    </row>
    <row r="129" spans="1:1" x14ac:dyDescent="0.25">
      <c r="A129">
        <v>185.70000000000002</v>
      </c>
    </row>
    <row r="130" spans="1:1" x14ac:dyDescent="0.25">
      <c r="A130">
        <v>349</v>
      </c>
    </row>
    <row r="131" spans="1:1" x14ac:dyDescent="0.25">
      <c r="A131">
        <v>819</v>
      </c>
    </row>
    <row r="132" spans="1:1" x14ac:dyDescent="0.25">
      <c r="A132">
        <v>3147.9995218660883</v>
      </c>
    </row>
    <row r="133" spans="1:1" x14ac:dyDescent="0.25">
      <c r="A133">
        <v>1257.0003831070851</v>
      </c>
    </row>
    <row r="134" spans="1:1" x14ac:dyDescent="0.25">
      <c r="A134">
        <v>86</v>
      </c>
    </row>
    <row r="135" spans="1:1" x14ac:dyDescent="0.25">
      <c r="A135">
        <v>1897.9998177191051</v>
      </c>
    </row>
    <row r="136" spans="1:1" x14ac:dyDescent="0.25">
      <c r="A136">
        <v>4596</v>
      </c>
    </row>
    <row r="137" spans="1:1" x14ac:dyDescent="0.25">
      <c r="A137" t="e">
        <v>#DIV/0!</v>
      </c>
    </row>
    <row r="138" spans="1:1" x14ac:dyDescent="0.25">
      <c r="A138">
        <v>2951</v>
      </c>
    </row>
    <row r="139" spans="1:1" x14ac:dyDescent="0.25">
      <c r="A139">
        <v>57</v>
      </c>
    </row>
    <row r="140" spans="1:1" x14ac:dyDescent="0.25">
      <c r="A140">
        <v>569.00030845229935</v>
      </c>
    </row>
    <row r="141" spans="1:1" x14ac:dyDescent="0.25">
      <c r="A141">
        <v>1000</v>
      </c>
    </row>
    <row r="142" spans="1:1" x14ac:dyDescent="0.25">
      <c r="A142">
        <v>1574</v>
      </c>
    </row>
    <row r="143" spans="1:1" x14ac:dyDescent="0.25">
      <c r="A143">
        <v>1900</v>
      </c>
    </row>
    <row r="144" spans="1:1" x14ac:dyDescent="0.25">
      <c r="A144">
        <v>3049</v>
      </c>
    </row>
    <row r="145" spans="1:1" x14ac:dyDescent="0.25">
      <c r="A145" t="e">
        <v>#DIV/0!</v>
      </c>
    </row>
    <row r="146" spans="1:1" x14ac:dyDescent="0.25">
      <c r="A146">
        <v>3709.0015168774758</v>
      </c>
    </row>
    <row r="147" spans="1:1" x14ac:dyDescent="0.25">
      <c r="A147">
        <v>2881</v>
      </c>
    </row>
    <row r="148" spans="1:1" x14ac:dyDescent="0.25">
      <c r="A148">
        <v>2593</v>
      </c>
    </row>
    <row r="149" spans="1:1" x14ac:dyDescent="0.25">
      <c r="A149">
        <v>5400</v>
      </c>
    </row>
    <row r="150" spans="1:1" x14ac:dyDescent="0.25">
      <c r="A150">
        <v>1830</v>
      </c>
    </row>
    <row r="151" spans="1:1" x14ac:dyDescent="0.25">
      <c r="A151">
        <v>614</v>
      </c>
    </row>
    <row r="152" spans="1:1" x14ac:dyDescent="0.25">
      <c r="A152">
        <v>3040</v>
      </c>
    </row>
    <row r="153" spans="1:1" x14ac:dyDescent="0.25">
      <c r="A153">
        <v>431.99985836070221</v>
      </c>
    </row>
    <row r="154" spans="1:1" x14ac:dyDescent="0.25">
      <c r="A154">
        <v>1998</v>
      </c>
    </row>
    <row r="155" spans="1:1" x14ac:dyDescent="0.25">
      <c r="A155">
        <v>4517</v>
      </c>
    </row>
    <row r="156" spans="1:1" x14ac:dyDescent="0.25">
      <c r="A156">
        <v>2232</v>
      </c>
    </row>
    <row r="157" spans="1:1" x14ac:dyDescent="0.25">
      <c r="A157">
        <v>3558</v>
      </c>
    </row>
    <row r="158" spans="1:1" x14ac:dyDescent="0.25">
      <c r="A158">
        <v>15</v>
      </c>
    </row>
    <row r="159" spans="1:1" x14ac:dyDescent="0.25">
      <c r="A159">
        <v>315.99986306672599</v>
      </c>
    </row>
    <row r="160" spans="1:1" x14ac:dyDescent="0.25">
      <c r="A160">
        <v>996</v>
      </c>
    </row>
    <row r="161" spans="1:1" x14ac:dyDescent="0.25">
      <c r="A161">
        <v>897</v>
      </c>
    </row>
    <row r="162" spans="1:1" x14ac:dyDescent="0.25">
      <c r="A162">
        <v>2570</v>
      </c>
    </row>
    <row r="163" spans="1:1" x14ac:dyDescent="0.25">
      <c r="A163">
        <v>982</v>
      </c>
    </row>
    <row r="164" spans="1:1" x14ac:dyDescent="0.25">
      <c r="A164">
        <v>10</v>
      </c>
    </row>
    <row r="165" spans="1:1" x14ac:dyDescent="0.25">
      <c r="A165">
        <v>1141</v>
      </c>
    </row>
    <row r="166" spans="1:1" x14ac:dyDescent="0.25">
      <c r="A166">
        <v>3537</v>
      </c>
    </row>
    <row r="167" spans="1:1" x14ac:dyDescent="0.25">
      <c r="A167">
        <v>1812.9995875640748</v>
      </c>
    </row>
    <row r="168" spans="1:1" x14ac:dyDescent="0.25">
      <c r="A168">
        <v>101.00000758923038</v>
      </c>
    </row>
    <row r="169" spans="1:1" x14ac:dyDescent="0.25">
      <c r="A169">
        <v>3490</v>
      </c>
    </row>
    <row r="170" spans="1:1" x14ac:dyDescent="0.25">
      <c r="A170">
        <v>1319.0007446054487</v>
      </c>
    </row>
    <row r="171" spans="1:1" x14ac:dyDescent="0.25">
      <c r="A171">
        <v>285</v>
      </c>
    </row>
    <row r="172" spans="1:1" x14ac:dyDescent="0.25">
      <c r="A172">
        <v>0.18699995044501314</v>
      </c>
    </row>
    <row r="173" spans="1:1" x14ac:dyDescent="0.25">
      <c r="A173">
        <v>2803.9995228229404</v>
      </c>
    </row>
    <row r="174" spans="1:1" x14ac:dyDescent="0.25">
      <c r="A174">
        <v>1658</v>
      </c>
    </row>
    <row r="175" spans="1:1" x14ac:dyDescent="0.25">
      <c r="A175">
        <v>6625</v>
      </c>
    </row>
    <row r="176" spans="1:1" x14ac:dyDescent="0.25">
      <c r="A176">
        <v>318.00011609233212</v>
      </c>
    </row>
    <row r="177" spans="1:1" x14ac:dyDescent="0.25">
      <c r="A177">
        <v>6.0000034285733879</v>
      </c>
    </row>
    <row r="178" spans="1:1" x14ac:dyDescent="0.25">
      <c r="A178">
        <v>177.99997620718781</v>
      </c>
    </row>
    <row r="179" spans="1:1" x14ac:dyDescent="0.25">
      <c r="A179">
        <v>7</v>
      </c>
    </row>
    <row r="180" spans="1:1" x14ac:dyDescent="0.25">
      <c r="A180">
        <v>3807</v>
      </c>
    </row>
    <row r="181" spans="1:1" x14ac:dyDescent="0.25">
      <c r="A181">
        <v>1702.9996634318732</v>
      </c>
    </row>
    <row r="182" spans="1:1" x14ac:dyDescent="0.25">
      <c r="A182">
        <v>6553.0000000000009</v>
      </c>
    </row>
    <row r="183" spans="1:1" x14ac:dyDescent="0.25">
      <c r="A183">
        <v>1098</v>
      </c>
    </row>
    <row r="184" spans="1:1" x14ac:dyDescent="0.25">
      <c r="A184">
        <v>536.99962392534485</v>
      </c>
    </row>
    <row r="185" spans="1:1" x14ac:dyDescent="0.25">
      <c r="A185">
        <v>698</v>
      </c>
    </row>
    <row r="186" spans="1:1" x14ac:dyDescent="0.25">
      <c r="A186">
        <v>2029</v>
      </c>
    </row>
    <row r="187" spans="1:1" x14ac:dyDescent="0.25">
      <c r="A187">
        <v>561</v>
      </c>
    </row>
    <row r="188" spans="1:1" x14ac:dyDescent="0.25">
      <c r="A188">
        <v>24</v>
      </c>
    </row>
    <row r="189" spans="1:1" x14ac:dyDescent="0.25">
      <c r="A189">
        <v>2056</v>
      </c>
    </row>
    <row r="190" spans="1:1" x14ac:dyDescent="0.25">
      <c r="A190">
        <v>1161</v>
      </c>
    </row>
    <row r="191" spans="1:1" x14ac:dyDescent="0.25">
      <c r="A191" t="e">
        <v>#DIV/0!</v>
      </c>
    </row>
    <row r="192" spans="1:1" x14ac:dyDescent="0.25">
      <c r="A192">
        <v>522</v>
      </c>
    </row>
    <row r="193" spans="1:1" x14ac:dyDescent="0.25">
      <c r="A193">
        <v>704</v>
      </c>
    </row>
    <row r="194" spans="1:1" x14ac:dyDescent="0.25">
      <c r="A194">
        <v>1093</v>
      </c>
    </row>
    <row r="195" spans="1:1" x14ac:dyDescent="0.25">
      <c r="A195">
        <v>828</v>
      </c>
    </row>
    <row r="196" spans="1:1" x14ac:dyDescent="0.25">
      <c r="A196">
        <v>775.99968265128439</v>
      </c>
    </row>
    <row r="197" spans="1:1" x14ac:dyDescent="0.25">
      <c r="A197">
        <v>503</v>
      </c>
    </row>
    <row r="198" spans="1:1" x14ac:dyDescent="0.25">
      <c r="A198">
        <v>8</v>
      </c>
    </row>
    <row r="199" spans="1:1" x14ac:dyDescent="0.25">
      <c r="A199">
        <v>997</v>
      </c>
    </row>
    <row r="200" spans="1:1" x14ac:dyDescent="0.25">
      <c r="A200">
        <v>3019</v>
      </c>
    </row>
    <row r="201" spans="1:1" x14ac:dyDescent="0.25">
      <c r="A201">
        <v>2138.5</v>
      </c>
    </row>
    <row r="202" spans="1:1" x14ac:dyDescent="0.25">
      <c r="A202">
        <v>730</v>
      </c>
    </row>
    <row r="203" spans="1:1" x14ac:dyDescent="0.25">
      <c r="A203">
        <v>927.00035112031412</v>
      </c>
    </row>
    <row r="204" spans="1:1" x14ac:dyDescent="0.25">
      <c r="A204">
        <v>1041</v>
      </c>
    </row>
    <row r="205" spans="1:1" x14ac:dyDescent="0.25">
      <c r="A205">
        <v>741</v>
      </c>
    </row>
    <row r="206" spans="1:1" x14ac:dyDescent="0.25">
      <c r="A206">
        <v>1195</v>
      </c>
    </row>
    <row r="207" spans="1:1" x14ac:dyDescent="0.25">
      <c r="A207">
        <v>10.999994908981066</v>
      </c>
    </row>
    <row r="208" spans="1:1" x14ac:dyDescent="0.25">
      <c r="A208">
        <v>6</v>
      </c>
    </row>
    <row r="209" spans="1:1" x14ac:dyDescent="0.25">
      <c r="A209">
        <v>203</v>
      </c>
    </row>
    <row r="210" spans="1:1" x14ac:dyDescent="0.25">
      <c r="A210">
        <v>272</v>
      </c>
    </row>
    <row r="211" spans="1:1" x14ac:dyDescent="0.25">
      <c r="A211">
        <v>3355</v>
      </c>
    </row>
    <row r="212" spans="1:1" x14ac:dyDescent="0.25">
      <c r="A212">
        <v>20</v>
      </c>
    </row>
    <row r="213" spans="1:1" x14ac:dyDescent="0.25">
      <c r="A213">
        <v>5438</v>
      </c>
    </row>
    <row r="214" spans="1:1" x14ac:dyDescent="0.25">
      <c r="A214">
        <v>3049</v>
      </c>
    </row>
    <row r="215" spans="1:1" x14ac:dyDescent="0.25">
      <c r="A215">
        <v>4</v>
      </c>
    </row>
    <row r="216" spans="1:1" x14ac:dyDescent="0.25">
      <c r="A216">
        <v>1976</v>
      </c>
    </row>
    <row r="217" spans="1:1" x14ac:dyDescent="0.25">
      <c r="A217">
        <v>2076</v>
      </c>
    </row>
    <row r="218" spans="1:1" x14ac:dyDescent="0.25">
      <c r="A218">
        <v>177</v>
      </c>
    </row>
    <row r="219" spans="1:1" x14ac:dyDescent="0.25">
      <c r="A219">
        <v>5757</v>
      </c>
    </row>
    <row r="220" spans="1:1" x14ac:dyDescent="0.25">
      <c r="A220">
        <v>2200</v>
      </c>
    </row>
    <row r="221" spans="1:1" x14ac:dyDescent="0.25">
      <c r="A221">
        <v>1551</v>
      </c>
    </row>
    <row r="222" spans="1:1" x14ac:dyDescent="0.25">
      <c r="A222">
        <v>1209</v>
      </c>
    </row>
    <row r="223" spans="1:1" x14ac:dyDescent="0.25">
      <c r="A223">
        <v>105</v>
      </c>
    </row>
    <row r="224" spans="1:1" x14ac:dyDescent="0.25">
      <c r="A224">
        <v>2804</v>
      </c>
    </row>
    <row r="225" spans="1:12" x14ac:dyDescent="0.25">
      <c r="A225">
        <v>39</v>
      </c>
    </row>
    <row r="226" spans="1:12" x14ac:dyDescent="0.25">
      <c r="A226">
        <v>939</v>
      </c>
    </row>
    <row r="227" spans="1:12" x14ac:dyDescent="0.25">
      <c r="A227">
        <v>6862</v>
      </c>
      <c r="L227" s="1">
        <v>43867</v>
      </c>
    </row>
    <row r="228" spans="1:12" x14ac:dyDescent="0.25">
      <c r="A228">
        <v>599</v>
      </c>
    </row>
    <row r="229" spans="1:12" x14ac:dyDescent="0.25">
      <c r="A229">
        <v>1411</v>
      </c>
    </row>
    <row r="230" spans="1:12" x14ac:dyDescent="0.25">
      <c r="A230">
        <v>1256</v>
      </c>
    </row>
    <row r="231" spans="1:12" x14ac:dyDescent="0.25">
      <c r="A231">
        <v>547</v>
      </c>
    </row>
    <row r="232" spans="1:12" x14ac:dyDescent="0.25">
      <c r="A232">
        <v>171</v>
      </c>
    </row>
    <row r="233" spans="1:12" x14ac:dyDescent="0.25">
      <c r="A233">
        <v>1680</v>
      </c>
    </row>
    <row r="234" spans="1:12" x14ac:dyDescent="0.25">
      <c r="A234">
        <v>755</v>
      </c>
    </row>
    <row r="235" spans="1:12" x14ac:dyDescent="0.25">
      <c r="A235">
        <v>11</v>
      </c>
    </row>
    <row r="236" spans="1:12" x14ac:dyDescent="0.25">
      <c r="A236">
        <v>2127</v>
      </c>
    </row>
    <row r="237" spans="1:12" x14ac:dyDescent="0.25">
      <c r="A237">
        <v>47</v>
      </c>
    </row>
    <row r="238" spans="1:12" x14ac:dyDescent="0.25">
      <c r="A238">
        <v>898</v>
      </c>
    </row>
    <row r="239" spans="1:12" x14ac:dyDescent="0.25">
      <c r="A239">
        <v>975</v>
      </c>
    </row>
    <row r="240" spans="1:12" x14ac:dyDescent="0.25">
      <c r="A240">
        <v>3776</v>
      </c>
    </row>
    <row r="241" spans="1:1" x14ac:dyDescent="0.25">
      <c r="A241">
        <v>943</v>
      </c>
    </row>
    <row r="242" spans="1:1" x14ac:dyDescent="0.25">
      <c r="A242">
        <v>815</v>
      </c>
    </row>
    <row r="243" spans="1:1" x14ac:dyDescent="0.25">
      <c r="A243">
        <v>1047</v>
      </c>
    </row>
    <row r="244" spans="1:1" x14ac:dyDescent="0.25">
      <c r="A244">
        <v>222</v>
      </c>
    </row>
    <row r="245" spans="1:1" x14ac:dyDescent="0.25">
      <c r="A245">
        <v>131</v>
      </c>
    </row>
    <row r="246" spans="1:1" x14ac:dyDescent="0.25">
      <c r="A246">
        <v>1040</v>
      </c>
    </row>
    <row r="247" spans="1:1" x14ac:dyDescent="0.25">
      <c r="A247">
        <v>1083</v>
      </c>
    </row>
    <row r="248" spans="1:1" x14ac:dyDescent="0.25">
      <c r="A248">
        <v>1618</v>
      </c>
    </row>
    <row r="249" spans="1:1" x14ac:dyDescent="0.25">
      <c r="A249">
        <v>4171</v>
      </c>
    </row>
    <row r="250" spans="1:1" x14ac:dyDescent="0.25">
      <c r="A250">
        <v>122</v>
      </c>
    </row>
    <row r="251" spans="1:1" x14ac:dyDescent="0.25">
      <c r="A251">
        <v>1885</v>
      </c>
    </row>
    <row r="252" spans="1:1" x14ac:dyDescent="0.25">
      <c r="A252">
        <v>860</v>
      </c>
    </row>
    <row r="253" spans="1:1" x14ac:dyDescent="0.25">
      <c r="A253">
        <v>1134</v>
      </c>
    </row>
    <row r="254" spans="1:1" x14ac:dyDescent="0.25">
      <c r="A254">
        <v>3419</v>
      </c>
    </row>
    <row r="255" spans="1:1" x14ac:dyDescent="0.25">
      <c r="A255">
        <v>165</v>
      </c>
    </row>
    <row r="256" spans="1:1" x14ac:dyDescent="0.25">
      <c r="A256">
        <v>745</v>
      </c>
    </row>
    <row r="257" spans="1:1" x14ac:dyDescent="0.25">
      <c r="A257">
        <v>2970</v>
      </c>
    </row>
    <row r="258" spans="1:1" x14ac:dyDescent="0.25">
      <c r="A258">
        <v>31</v>
      </c>
    </row>
    <row r="259" spans="1:1" x14ac:dyDescent="0.25">
      <c r="A259">
        <v>632</v>
      </c>
    </row>
    <row r="260" spans="1:1" x14ac:dyDescent="0.25">
      <c r="A260">
        <v>201</v>
      </c>
    </row>
    <row r="261" spans="1:1" x14ac:dyDescent="0.25">
      <c r="A261">
        <v>5485</v>
      </c>
    </row>
    <row r="262" spans="1:1" x14ac:dyDescent="0.25">
      <c r="A262">
        <v>3985</v>
      </c>
    </row>
    <row r="263" spans="1:1" x14ac:dyDescent="0.25">
      <c r="A263">
        <v>100</v>
      </c>
    </row>
    <row r="264" spans="1:1" x14ac:dyDescent="0.25">
      <c r="A264">
        <v>2973</v>
      </c>
    </row>
    <row r="265" spans="1:1" x14ac:dyDescent="0.25">
      <c r="A265">
        <v>2742</v>
      </c>
    </row>
    <row r="266" spans="1:1" x14ac:dyDescent="0.25">
      <c r="A266">
        <v>4429</v>
      </c>
    </row>
    <row r="267" spans="1:1" x14ac:dyDescent="0.25">
      <c r="A267">
        <v>340</v>
      </c>
    </row>
    <row r="268" spans="1:1" x14ac:dyDescent="0.25">
      <c r="A268">
        <v>3214</v>
      </c>
    </row>
    <row r="269" spans="1:1" x14ac:dyDescent="0.25">
      <c r="A269">
        <v>2528</v>
      </c>
    </row>
    <row r="270" spans="1:1" x14ac:dyDescent="0.25">
      <c r="A270">
        <v>58</v>
      </c>
    </row>
    <row r="271" spans="1:1" x14ac:dyDescent="0.25">
      <c r="A271">
        <v>607</v>
      </c>
    </row>
    <row r="272" spans="1:1" x14ac:dyDescent="0.25">
      <c r="A272">
        <v>1474</v>
      </c>
    </row>
    <row r="273" spans="1:1" x14ac:dyDescent="0.25">
      <c r="A273">
        <v>801</v>
      </c>
    </row>
    <row r="274" spans="1:1" x14ac:dyDescent="0.25">
      <c r="A274">
        <v>1247</v>
      </c>
    </row>
    <row r="275" spans="1:1" x14ac:dyDescent="0.25">
      <c r="A275">
        <v>388</v>
      </c>
    </row>
    <row r="276" spans="1:1" x14ac:dyDescent="0.25">
      <c r="A276">
        <v>277</v>
      </c>
    </row>
    <row r="277" spans="1:1" x14ac:dyDescent="0.25">
      <c r="A277">
        <v>1832</v>
      </c>
    </row>
    <row r="278" spans="1:1" x14ac:dyDescent="0.25">
      <c r="A278">
        <v>3531</v>
      </c>
    </row>
    <row r="279" spans="1:1" x14ac:dyDescent="0.25">
      <c r="A279">
        <v>1133</v>
      </c>
    </row>
    <row r="280" spans="1:1" x14ac:dyDescent="0.25">
      <c r="A280">
        <v>1066</v>
      </c>
    </row>
    <row r="281" spans="1:1" x14ac:dyDescent="0.25">
      <c r="A281">
        <v>600</v>
      </c>
    </row>
    <row r="282" spans="1:1" x14ac:dyDescent="0.25">
      <c r="A282">
        <v>3295</v>
      </c>
    </row>
    <row r="283" spans="1:1" x14ac:dyDescent="0.25">
      <c r="A283">
        <v>480</v>
      </c>
    </row>
    <row r="284" spans="1:1" x14ac:dyDescent="0.25">
      <c r="A284">
        <v>699</v>
      </c>
    </row>
    <row r="285" spans="1:1" x14ac:dyDescent="0.25">
      <c r="A285">
        <v>302</v>
      </c>
    </row>
    <row r="286" spans="1:1" x14ac:dyDescent="0.25">
      <c r="A286">
        <v>127</v>
      </c>
    </row>
    <row r="287" spans="1:1" x14ac:dyDescent="0.25">
      <c r="A287">
        <v>153</v>
      </c>
    </row>
    <row r="288" spans="1:1" x14ac:dyDescent="0.25">
      <c r="A288">
        <v>456</v>
      </c>
    </row>
    <row r="289" spans="1:1" x14ac:dyDescent="0.25">
      <c r="A289">
        <v>202</v>
      </c>
    </row>
    <row r="290" spans="1:1" x14ac:dyDescent="0.25">
      <c r="A290">
        <v>171</v>
      </c>
    </row>
    <row r="291" spans="1:1" x14ac:dyDescent="0.25">
      <c r="A291">
        <v>204</v>
      </c>
    </row>
    <row r="292" spans="1:1" x14ac:dyDescent="0.25">
      <c r="A292">
        <v>1048</v>
      </c>
    </row>
    <row r="293" spans="1:1" x14ac:dyDescent="0.25">
      <c r="A293">
        <v>152</v>
      </c>
    </row>
    <row r="294" spans="1:1" x14ac:dyDescent="0.25">
      <c r="A294">
        <v>725</v>
      </c>
    </row>
    <row r="295" spans="1:1" x14ac:dyDescent="0.25">
      <c r="A295">
        <v>176</v>
      </c>
    </row>
    <row r="296" spans="1:1" x14ac:dyDescent="0.25">
      <c r="A296">
        <v>204</v>
      </c>
    </row>
    <row r="297" spans="1:1" x14ac:dyDescent="0.25">
      <c r="A297">
        <v>1856</v>
      </c>
    </row>
    <row r="298" spans="1:1" x14ac:dyDescent="0.25">
      <c r="A298">
        <v>208</v>
      </c>
    </row>
    <row r="299" spans="1:1" x14ac:dyDescent="0.25">
      <c r="A299">
        <v>145</v>
      </c>
    </row>
    <row r="300" spans="1:1" x14ac:dyDescent="0.25">
      <c r="A300">
        <v>1122</v>
      </c>
    </row>
    <row r="301" spans="1:1" x14ac:dyDescent="0.25">
      <c r="A301">
        <v>147</v>
      </c>
    </row>
    <row r="302" spans="1:1" x14ac:dyDescent="0.25">
      <c r="A302">
        <v>454</v>
      </c>
    </row>
    <row r="303" spans="1:1" x14ac:dyDescent="0.25">
      <c r="A303">
        <v>1125</v>
      </c>
    </row>
    <row r="304" spans="1:1" x14ac:dyDescent="0.25">
      <c r="A304">
        <v>205</v>
      </c>
    </row>
    <row r="305" spans="1:1" x14ac:dyDescent="0.25">
      <c r="A305">
        <v>1998.2</v>
      </c>
    </row>
    <row r="306" spans="1:1" x14ac:dyDescent="0.25">
      <c r="A306">
        <v>921</v>
      </c>
    </row>
    <row r="307" spans="1:1" x14ac:dyDescent="0.25">
      <c r="A307">
        <v>289</v>
      </c>
    </row>
    <row r="308" spans="1:1" x14ac:dyDescent="0.25">
      <c r="A308">
        <v>680</v>
      </c>
    </row>
    <row r="309" spans="1:1" x14ac:dyDescent="0.25">
      <c r="A309">
        <v>894</v>
      </c>
    </row>
    <row r="310" spans="1:1" x14ac:dyDescent="0.25">
      <c r="A310">
        <v>415</v>
      </c>
    </row>
    <row r="311" spans="1:1" x14ac:dyDescent="0.25">
      <c r="A311">
        <v>272.8</v>
      </c>
    </row>
    <row r="312" spans="1:1" x14ac:dyDescent="0.25">
      <c r="A312">
        <v>851</v>
      </c>
    </row>
    <row r="313" spans="1:1" x14ac:dyDescent="0.25">
      <c r="A313">
        <v>1560</v>
      </c>
    </row>
    <row r="314" spans="1:1" x14ac:dyDescent="0.25">
      <c r="A314">
        <v>3819</v>
      </c>
    </row>
    <row r="315" spans="1:1" x14ac:dyDescent="0.25">
      <c r="A315">
        <v>453</v>
      </c>
    </row>
    <row r="316" spans="1:1" x14ac:dyDescent="0.25">
      <c r="A316">
        <v>89</v>
      </c>
    </row>
    <row r="317" spans="1:1" x14ac:dyDescent="0.25">
      <c r="A317">
        <v>5.4</v>
      </c>
    </row>
    <row r="318" spans="1:1" x14ac:dyDescent="0.25">
      <c r="A318">
        <v>237</v>
      </c>
    </row>
    <row r="319" spans="1:1" x14ac:dyDescent="0.25">
      <c r="A319">
        <v>5</v>
      </c>
    </row>
    <row r="320" spans="1:1" x14ac:dyDescent="0.25">
      <c r="A320">
        <v>2500</v>
      </c>
    </row>
    <row r="321" spans="1:1" x14ac:dyDescent="0.25">
      <c r="A321">
        <v>3334</v>
      </c>
    </row>
    <row r="322" spans="1:1" x14ac:dyDescent="0.25">
      <c r="A322">
        <v>3</v>
      </c>
    </row>
    <row r="323" spans="1:1" x14ac:dyDescent="0.25">
      <c r="A323">
        <v>605</v>
      </c>
    </row>
    <row r="324" spans="1:1" x14ac:dyDescent="0.25">
      <c r="A324">
        <v>3921</v>
      </c>
    </row>
    <row r="325" spans="1:1" x14ac:dyDescent="0.25">
      <c r="A325">
        <v>850</v>
      </c>
    </row>
    <row r="326" spans="1:1" x14ac:dyDescent="0.25">
      <c r="A326">
        <v>1127</v>
      </c>
    </row>
    <row r="327" spans="1:1" x14ac:dyDescent="0.25">
      <c r="A327">
        <v>2081</v>
      </c>
    </row>
    <row r="328" spans="1:1" x14ac:dyDescent="0.25">
      <c r="A328">
        <v>662.6</v>
      </c>
    </row>
    <row r="329" spans="1:1" x14ac:dyDescent="0.25">
      <c r="A329">
        <v>3812.2</v>
      </c>
    </row>
    <row r="330" spans="1:1" x14ac:dyDescent="0.25">
      <c r="A330">
        <v>1525.6</v>
      </c>
    </row>
    <row r="331" spans="1:1" x14ac:dyDescent="0.25">
      <c r="A331">
        <v>288</v>
      </c>
    </row>
    <row r="332" spans="1:1" x14ac:dyDescent="0.25">
      <c r="A332">
        <v>1411</v>
      </c>
    </row>
    <row r="333" spans="1:1" x14ac:dyDescent="0.25">
      <c r="A333">
        <v>606</v>
      </c>
    </row>
    <row r="334" spans="1:1" x14ac:dyDescent="0.25">
      <c r="A334">
        <v>1184</v>
      </c>
    </row>
    <row r="335" spans="1:1" x14ac:dyDescent="0.25">
      <c r="A335">
        <v>253</v>
      </c>
    </row>
    <row r="336" spans="1:1" x14ac:dyDescent="0.25">
      <c r="A336">
        <v>4</v>
      </c>
    </row>
    <row r="337" spans="1:1" x14ac:dyDescent="0.25">
      <c r="A337">
        <v>792</v>
      </c>
    </row>
    <row r="338" spans="1:1" x14ac:dyDescent="0.25">
      <c r="A338">
        <v>503</v>
      </c>
    </row>
    <row r="339" spans="1:1" x14ac:dyDescent="0.25">
      <c r="A339">
        <v>4</v>
      </c>
    </row>
    <row r="340" spans="1:1" x14ac:dyDescent="0.25">
      <c r="A340">
        <v>0</v>
      </c>
    </row>
    <row r="341" spans="1:1" x14ac:dyDescent="0.25">
      <c r="A341">
        <v>44</v>
      </c>
    </row>
    <row r="342" spans="1:1" x14ac:dyDescent="0.25">
      <c r="A342">
        <v>504</v>
      </c>
    </row>
    <row r="343" spans="1:1" x14ac:dyDescent="0.25">
      <c r="A343">
        <v>382</v>
      </c>
    </row>
    <row r="344" spans="1:1" x14ac:dyDescent="0.25">
      <c r="A344">
        <v>237</v>
      </c>
    </row>
    <row r="345" spans="1:1" x14ac:dyDescent="0.25">
      <c r="A345">
        <v>250</v>
      </c>
    </row>
    <row r="346" spans="1:1" x14ac:dyDescent="0.25">
      <c r="A346">
        <v>208</v>
      </c>
    </row>
    <row r="347" spans="1:1" x14ac:dyDescent="0.25">
      <c r="A347">
        <v>223</v>
      </c>
    </row>
    <row r="348" spans="1:1" x14ac:dyDescent="0.25">
      <c r="A348">
        <v>32</v>
      </c>
    </row>
    <row r="349" spans="1:1" x14ac:dyDescent="0.25">
      <c r="A349">
        <v>8940</v>
      </c>
    </row>
    <row r="350" spans="1:1" x14ac:dyDescent="0.25">
      <c r="A350">
        <v>2574</v>
      </c>
    </row>
    <row r="351" spans="1:1" x14ac:dyDescent="0.25">
      <c r="A351">
        <v>1476</v>
      </c>
    </row>
    <row r="352" spans="1:1" x14ac:dyDescent="0.25">
      <c r="A352">
        <v>218</v>
      </c>
    </row>
    <row r="353" spans="1:1" x14ac:dyDescent="0.25">
      <c r="A353">
        <v>4009</v>
      </c>
    </row>
    <row r="354" spans="1:1" x14ac:dyDescent="0.25">
      <c r="A354">
        <v>185.7</v>
      </c>
    </row>
    <row r="355" spans="1:1" x14ac:dyDescent="0.25">
      <c r="A355">
        <v>819</v>
      </c>
    </row>
    <row r="356" spans="1:1" x14ac:dyDescent="0.25">
      <c r="A356">
        <v>349</v>
      </c>
    </row>
    <row r="357" spans="1:1" x14ac:dyDescent="0.25">
      <c r="A357">
        <v>3148</v>
      </c>
    </row>
    <row r="358" spans="1:1" x14ac:dyDescent="0.25">
      <c r="A358">
        <v>1257</v>
      </c>
    </row>
    <row r="359" spans="1:1" x14ac:dyDescent="0.25">
      <c r="A359">
        <v>86</v>
      </c>
    </row>
    <row r="360" spans="1:1" x14ac:dyDescent="0.25">
      <c r="A360">
        <v>4596</v>
      </c>
    </row>
    <row r="361" spans="1:1" x14ac:dyDescent="0.25">
      <c r="A361">
        <v>101</v>
      </c>
    </row>
    <row r="362" spans="1:1" x14ac:dyDescent="0.25">
      <c r="A362">
        <v>1898</v>
      </c>
    </row>
    <row r="363" spans="1:1" x14ac:dyDescent="0.25">
      <c r="A363">
        <v>2951</v>
      </c>
    </row>
    <row r="364" spans="1:1" x14ac:dyDescent="0.25">
      <c r="A364">
        <v>57</v>
      </c>
    </row>
    <row r="365" spans="1:1" x14ac:dyDescent="0.25">
      <c r="A365">
        <v>569</v>
      </c>
    </row>
    <row r="366" spans="1:1" x14ac:dyDescent="0.25">
      <c r="A366">
        <v>1000</v>
      </c>
    </row>
    <row r="367" spans="1:1" x14ac:dyDescent="0.25">
      <c r="A367">
        <v>1574</v>
      </c>
    </row>
    <row r="368" spans="1:1" x14ac:dyDescent="0.25">
      <c r="A368">
        <v>1900</v>
      </c>
    </row>
    <row r="369" spans="1:1" x14ac:dyDescent="0.25">
      <c r="A369">
        <v>3049</v>
      </c>
    </row>
    <row r="370" spans="1:1" x14ac:dyDescent="0.25">
      <c r="A370">
        <v>6</v>
      </c>
    </row>
    <row r="371" spans="1:1" x14ac:dyDescent="0.25">
      <c r="A371">
        <v>3709</v>
      </c>
    </row>
    <row r="372" spans="1:1" x14ac:dyDescent="0.25">
      <c r="A372">
        <v>2881</v>
      </c>
    </row>
    <row r="373" spans="1:1" x14ac:dyDescent="0.25">
      <c r="A373">
        <v>2593</v>
      </c>
    </row>
    <row r="374" spans="1:1" x14ac:dyDescent="0.25">
      <c r="A374">
        <v>5400</v>
      </c>
    </row>
    <row r="375" spans="1:1" x14ac:dyDescent="0.25">
      <c r="A375">
        <v>1830</v>
      </c>
    </row>
    <row r="376" spans="1:1" x14ac:dyDescent="0.25">
      <c r="A376">
        <v>614</v>
      </c>
    </row>
    <row r="377" spans="1:1" x14ac:dyDescent="0.25">
      <c r="A377">
        <v>3040</v>
      </c>
    </row>
    <row r="378" spans="1:1" x14ac:dyDescent="0.25">
      <c r="A378">
        <v>432</v>
      </c>
    </row>
    <row r="379" spans="1:1" x14ac:dyDescent="0.25">
      <c r="A379">
        <v>1998</v>
      </c>
    </row>
    <row r="380" spans="1:1" x14ac:dyDescent="0.25">
      <c r="A380">
        <v>4517</v>
      </c>
    </row>
    <row r="381" spans="1:1" x14ac:dyDescent="0.25">
      <c r="A381">
        <v>2232</v>
      </c>
    </row>
    <row r="382" spans="1:1" x14ac:dyDescent="0.25">
      <c r="A382">
        <v>3558</v>
      </c>
    </row>
    <row r="383" spans="1:1" x14ac:dyDescent="0.25">
      <c r="A383">
        <v>15</v>
      </c>
    </row>
    <row r="384" spans="1:1" x14ac:dyDescent="0.25">
      <c r="A384">
        <v>316</v>
      </c>
    </row>
    <row r="385" spans="1:1" x14ac:dyDescent="0.25">
      <c r="A385">
        <v>0</v>
      </c>
    </row>
    <row r="386" spans="1:1" x14ac:dyDescent="0.25">
      <c r="A386">
        <v>996</v>
      </c>
    </row>
    <row r="387" spans="1:1" x14ac:dyDescent="0.25">
      <c r="A387">
        <v>897</v>
      </c>
    </row>
    <row r="388" spans="1:1" x14ac:dyDescent="0.25">
      <c r="A388">
        <v>2570</v>
      </c>
    </row>
    <row r="389" spans="1:1" x14ac:dyDescent="0.25">
      <c r="A389">
        <v>982</v>
      </c>
    </row>
    <row r="390" spans="1:1" x14ac:dyDescent="0.25">
      <c r="A390">
        <v>10</v>
      </c>
    </row>
    <row r="391" spans="1:1" x14ac:dyDescent="0.25">
      <c r="A391">
        <v>0</v>
      </c>
    </row>
    <row r="392" spans="1:1" x14ac:dyDescent="0.25">
      <c r="A392">
        <v>1141</v>
      </c>
    </row>
    <row r="393" spans="1:1" x14ac:dyDescent="0.25">
      <c r="A393">
        <v>3537</v>
      </c>
    </row>
    <row r="394" spans="1:1" x14ac:dyDescent="0.25">
      <c r="A394">
        <v>1813</v>
      </c>
    </row>
    <row r="395" spans="1:1" x14ac:dyDescent="0.25">
      <c r="A395">
        <v>3490</v>
      </c>
    </row>
    <row r="396" spans="1:1" x14ac:dyDescent="0.25">
      <c r="A396">
        <v>101</v>
      </c>
    </row>
    <row r="397" spans="1:1" x14ac:dyDescent="0.25">
      <c r="A397">
        <v>1319</v>
      </c>
    </row>
    <row r="398" spans="1:1" x14ac:dyDescent="0.25">
      <c r="A398">
        <v>285</v>
      </c>
    </row>
    <row r="399" spans="1:1" x14ac:dyDescent="0.25">
      <c r="A399">
        <v>0.187</v>
      </c>
    </row>
    <row r="400" spans="1:1" x14ac:dyDescent="0.25">
      <c r="A400">
        <v>2804</v>
      </c>
    </row>
    <row r="401" spans="1:1" x14ac:dyDescent="0.25">
      <c r="A401">
        <v>1658</v>
      </c>
    </row>
    <row r="402" spans="1:1" x14ac:dyDescent="0.25">
      <c r="A402">
        <v>6625</v>
      </c>
    </row>
    <row r="403" spans="1:1" x14ac:dyDescent="0.25">
      <c r="A403">
        <v>318</v>
      </c>
    </row>
    <row r="404" spans="1:1" x14ac:dyDescent="0.25">
      <c r="A404">
        <v>6</v>
      </c>
    </row>
    <row r="405" spans="1:1" x14ac:dyDescent="0.25">
      <c r="A405">
        <v>178</v>
      </c>
    </row>
    <row r="406" spans="1:1" x14ac:dyDescent="0.25">
      <c r="A406">
        <v>7</v>
      </c>
    </row>
    <row r="407" spans="1:1" x14ac:dyDescent="0.25">
      <c r="A407">
        <v>3807</v>
      </c>
    </row>
    <row r="408" spans="1:1" x14ac:dyDescent="0.25">
      <c r="A408">
        <v>1675</v>
      </c>
    </row>
    <row r="409" spans="1:1" x14ac:dyDescent="0.25">
      <c r="A409">
        <v>6553</v>
      </c>
    </row>
    <row r="410" spans="1:1" x14ac:dyDescent="0.25">
      <c r="A410">
        <v>1098</v>
      </c>
    </row>
    <row r="411" spans="1:1" x14ac:dyDescent="0.25">
      <c r="A411">
        <v>537</v>
      </c>
    </row>
    <row r="412" spans="1:1" x14ac:dyDescent="0.25">
      <c r="A412">
        <v>698</v>
      </c>
    </row>
    <row r="413" spans="1:1" x14ac:dyDescent="0.25">
      <c r="A413">
        <v>2029</v>
      </c>
    </row>
    <row r="414" spans="1:1" x14ac:dyDescent="0.25">
      <c r="A414">
        <v>561</v>
      </c>
    </row>
    <row r="415" spans="1:1" x14ac:dyDescent="0.25">
      <c r="A415">
        <v>24</v>
      </c>
    </row>
    <row r="416" spans="1:1" x14ac:dyDescent="0.25">
      <c r="A416">
        <v>2056</v>
      </c>
    </row>
    <row r="417" spans="1:1" x14ac:dyDescent="0.25">
      <c r="A417">
        <v>1161</v>
      </c>
    </row>
    <row r="418" spans="1:1" x14ac:dyDescent="0.25">
      <c r="A418">
        <v>40</v>
      </c>
    </row>
    <row r="419" spans="1:1" x14ac:dyDescent="0.25">
      <c r="A419">
        <v>522</v>
      </c>
    </row>
    <row r="420" spans="1:1" x14ac:dyDescent="0.25">
      <c r="A420">
        <v>704</v>
      </c>
    </row>
    <row r="421" spans="1:1" x14ac:dyDescent="0.25">
      <c r="A421">
        <v>1093</v>
      </c>
    </row>
    <row r="422" spans="1:1" x14ac:dyDescent="0.25">
      <c r="A422">
        <v>828</v>
      </c>
    </row>
    <row r="423" spans="1:1" x14ac:dyDescent="0.25">
      <c r="A423">
        <v>776</v>
      </c>
    </row>
    <row r="424" spans="1:1" x14ac:dyDescent="0.25">
      <c r="A424">
        <v>503</v>
      </c>
    </row>
    <row r="425" spans="1:1" x14ac:dyDescent="0.25">
      <c r="A425">
        <v>8</v>
      </c>
    </row>
    <row r="426" spans="1:1" x14ac:dyDescent="0.25">
      <c r="A426">
        <v>0</v>
      </c>
    </row>
    <row r="427" spans="1:1" x14ac:dyDescent="0.25">
      <c r="A427">
        <v>997</v>
      </c>
    </row>
    <row r="428" spans="1:1" x14ac:dyDescent="0.25">
      <c r="A428">
        <v>3019</v>
      </c>
    </row>
    <row r="429" spans="1:1" x14ac:dyDescent="0.25">
      <c r="A429">
        <v>2138.5</v>
      </c>
    </row>
    <row r="430" spans="1:1" x14ac:dyDescent="0.25">
      <c r="A430">
        <v>730</v>
      </c>
    </row>
    <row r="431" spans="1:1" x14ac:dyDescent="0.25">
      <c r="A431">
        <v>927</v>
      </c>
    </row>
    <row r="432" spans="1:1" x14ac:dyDescent="0.25">
      <c r="A432">
        <v>1041</v>
      </c>
    </row>
    <row r="433" spans="1:1" x14ac:dyDescent="0.25">
      <c r="A433">
        <v>741</v>
      </c>
    </row>
    <row r="434" spans="1:1" x14ac:dyDescent="0.25">
      <c r="A434">
        <v>1195</v>
      </c>
    </row>
    <row r="435" spans="1:1" x14ac:dyDescent="0.25">
      <c r="A435">
        <v>11</v>
      </c>
    </row>
    <row r="436" spans="1:1" x14ac:dyDescent="0.25">
      <c r="A436">
        <v>203</v>
      </c>
    </row>
    <row r="437" spans="1:1" x14ac:dyDescent="0.25">
      <c r="A437">
        <v>6</v>
      </c>
    </row>
    <row r="438" spans="1:1" x14ac:dyDescent="0.25">
      <c r="A438">
        <v>3355</v>
      </c>
    </row>
    <row r="439" spans="1:1" x14ac:dyDescent="0.25">
      <c r="A439">
        <v>272</v>
      </c>
    </row>
    <row r="440" spans="1:1" x14ac:dyDescent="0.25">
      <c r="A440">
        <v>5438</v>
      </c>
    </row>
    <row r="441" spans="1:1" x14ac:dyDescent="0.25">
      <c r="A441">
        <v>20</v>
      </c>
    </row>
    <row r="442" spans="1:1" x14ac:dyDescent="0.25">
      <c r="A442">
        <v>3049</v>
      </c>
    </row>
    <row r="443" spans="1:1" x14ac:dyDescent="0.25">
      <c r="A443">
        <v>4</v>
      </c>
    </row>
    <row r="444" spans="1:1" x14ac:dyDescent="0.25">
      <c r="A444">
        <v>1976</v>
      </c>
    </row>
    <row r="445" spans="1:1" x14ac:dyDescent="0.25">
      <c r="A445">
        <v>2076</v>
      </c>
    </row>
    <row r="446" spans="1:1" x14ac:dyDescent="0.25">
      <c r="A446">
        <v>177</v>
      </c>
    </row>
    <row r="447" spans="1:1" x14ac:dyDescent="0.25">
      <c r="A447">
        <v>5757</v>
      </c>
    </row>
    <row r="448" spans="1:1" x14ac:dyDescent="0.25">
      <c r="A448">
        <v>2200</v>
      </c>
    </row>
    <row r="449" spans="1:1" x14ac:dyDescent="0.25">
      <c r="A449">
        <v>1551</v>
      </c>
    </row>
    <row r="450" spans="1:1" x14ac:dyDescent="0.25">
      <c r="A450">
        <v>1209</v>
      </c>
    </row>
    <row r="451" spans="1:1" x14ac:dyDescent="0.25">
      <c r="A451">
        <v>105</v>
      </c>
    </row>
    <row r="452" spans="1:1" x14ac:dyDescent="0.25">
      <c r="A452">
        <v>0</v>
      </c>
    </row>
    <row r="453" spans="1:1" x14ac:dyDescent="0.25">
      <c r="A453">
        <v>2804</v>
      </c>
    </row>
    <row r="454" spans="1:1" x14ac:dyDescent="0.25">
      <c r="A454">
        <v>305938.18699999998</v>
      </c>
    </row>
    <row r="455" spans="1:1" x14ac:dyDescent="0.25">
      <c r="A455">
        <v>305938.18699999998</v>
      </c>
    </row>
    <row r="456" spans="1:1" x14ac:dyDescent="0.25">
      <c r="A456">
        <v>305938.18699999998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PT</vt:lpstr>
      <vt:lpstr>Black Cohosh Report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Jordan Wilson</dc:creator>
  <cp:lastModifiedBy>RvE</cp:lastModifiedBy>
  <dcterms:created xsi:type="dcterms:W3CDTF">2024-12-19T17:01:12Z</dcterms:created>
  <dcterms:modified xsi:type="dcterms:W3CDTF">2025-01-10T08:49:09Z</dcterms:modified>
</cp:coreProperties>
</file>