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codeName="ThisWorkbook" defaultThemeVersion="166925"/>
  <xr:revisionPtr revIDLastSave="142" documentId="8_{7202D000-A5AF-4923-B267-84D20826519A}" xr6:coauthVersionLast="47" xr6:coauthVersionMax="47" xr10:uidLastSave="{7AB6F820-FE2D-468F-AC76-707F8923CCBD}"/>
  <bookViews>
    <workbookView xWindow="-108" yWindow="-108" windowWidth="23256" windowHeight="12456" xr2:uid="{00000000-000D-0000-FFFF-FFFF00000000}"/>
  </bookViews>
  <sheets>
    <sheet name="Work Calculator" sheetId="1" r:id="rId1"/>
    <sheet name="Penalty Rate Calculator" sheetId="11" r:id="rId2"/>
    <sheet name="Data Validation Lists" sheetId="10" r:id="rId3"/>
    <sheet name="Notes" sheetId="7" r:id="rId4"/>
  </sheets>
  <definedNames>
    <definedName name="_xlnm.Print_Titles" localSheetId="0">'Work Calculator'!$A:$B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11" l="1"/>
  <c r="F53" i="11"/>
  <c r="P11" i="11"/>
  <c r="Q41" i="11"/>
  <c r="AM26" i="1" l="1"/>
  <c r="AM25" i="1"/>
  <c r="AM24" i="1"/>
  <c r="AM23" i="1"/>
  <c r="AM22" i="1"/>
  <c r="AM15" i="1"/>
  <c r="AM14" i="1"/>
  <c r="AM12" i="1"/>
  <c r="AM11" i="1"/>
  <c r="AM10" i="1"/>
  <c r="AL26" i="1" l="1"/>
  <c r="AL25" i="1"/>
  <c r="AL24" i="1"/>
  <c r="AL22" i="1"/>
  <c r="AL15" i="1"/>
  <c r="AL14" i="1"/>
  <c r="AL12" i="1"/>
  <c r="AL11" i="1"/>
  <c r="AL10" i="1"/>
  <c r="AF21" i="1" a="1"/>
  <c r="AF21" i="1" s="1"/>
  <c r="AJ21" i="1" s="1"/>
  <c r="AL21" i="1" l="1"/>
  <c r="AL1" i="1"/>
  <c r="T10" i="1"/>
  <c r="P10" i="1"/>
  <c r="AM9" i="1"/>
  <c r="AM21" i="1"/>
  <c r="N58" i="11"/>
  <c r="M58" i="11"/>
  <c r="N57" i="11"/>
  <c r="M57" i="11"/>
  <c r="N56" i="11"/>
  <c r="M56" i="11"/>
  <c r="N55" i="11"/>
  <c r="M55" i="11"/>
  <c r="N54" i="11"/>
  <c r="M54" i="11"/>
  <c r="N53" i="11"/>
  <c r="M53" i="11"/>
  <c r="N52" i="11"/>
  <c r="M52" i="11"/>
  <c r="N46" i="11"/>
  <c r="M46" i="11"/>
  <c r="N45" i="11"/>
  <c r="M45" i="11"/>
  <c r="N44" i="11"/>
  <c r="M44" i="11"/>
  <c r="N43" i="11"/>
  <c r="M43" i="11"/>
  <c r="N42" i="11"/>
  <c r="M42" i="11"/>
  <c r="N41" i="11"/>
  <c r="M41" i="11"/>
  <c r="M40" i="11"/>
  <c r="N40" i="11"/>
  <c r="D58" i="11"/>
  <c r="D57" i="11"/>
  <c r="D56" i="11"/>
  <c r="F56" i="11" s="1"/>
  <c r="D55" i="11"/>
  <c r="D54" i="11"/>
  <c r="F54" i="11" s="1"/>
  <c r="D53" i="11"/>
  <c r="D52" i="11"/>
  <c r="D46" i="11"/>
  <c r="D45" i="11"/>
  <c r="D44" i="11"/>
  <c r="D43" i="11"/>
  <c r="D42" i="11"/>
  <c r="D41" i="11"/>
  <c r="D40" i="11"/>
  <c r="C58" i="11"/>
  <c r="C57" i="11"/>
  <c r="C56" i="11"/>
  <c r="C55" i="11"/>
  <c r="C54" i="11"/>
  <c r="C53" i="11"/>
  <c r="C52" i="11"/>
  <c r="C46" i="11"/>
  <c r="C45" i="11"/>
  <c r="C44" i="11"/>
  <c r="C43" i="11"/>
  <c r="C42" i="11"/>
  <c r="C41" i="11"/>
  <c r="C40" i="11"/>
  <c r="B58" i="11"/>
  <c r="A58" i="11"/>
  <c r="B57" i="11"/>
  <c r="A57" i="11"/>
  <c r="B56" i="11"/>
  <c r="A56" i="11"/>
  <c r="B55" i="11"/>
  <c r="A55" i="11"/>
  <c r="B54" i="11"/>
  <c r="A54" i="11"/>
  <c r="B53" i="11"/>
  <c r="A53" i="11"/>
  <c r="B52" i="11"/>
  <c r="A52" i="11"/>
  <c r="B46" i="11"/>
  <c r="A46" i="11"/>
  <c r="B45" i="11"/>
  <c r="A45" i="11"/>
  <c r="B44" i="11"/>
  <c r="A44" i="11"/>
  <c r="B43" i="11"/>
  <c r="A43" i="11"/>
  <c r="B42" i="11"/>
  <c r="A42" i="11"/>
  <c r="B41" i="11"/>
  <c r="A41" i="11"/>
  <c r="B40" i="11"/>
  <c r="A40" i="11"/>
  <c r="T12" i="1"/>
  <c r="Q12" i="1"/>
  <c r="P12" i="1"/>
  <c r="AN27" i="1"/>
  <c r="AN15" i="1"/>
  <c r="AO15" i="1" s="1"/>
  <c r="K12" i="1"/>
  <c r="L12" i="1" s="1"/>
  <c r="BB27" i="1"/>
  <c r="BC27" i="1" s="1"/>
  <c r="BB15" i="1"/>
  <c r="BC15" i="1" s="1"/>
  <c r="C11" i="11"/>
  <c r="AO21" i="1"/>
  <c r="AO9" i="1"/>
  <c r="AU27" i="1"/>
  <c r="AU26" i="1"/>
  <c r="AU25" i="1"/>
  <c r="AU24" i="1"/>
  <c r="AU23" i="1"/>
  <c r="AU22" i="1"/>
  <c r="AU15" i="1"/>
  <c r="AU14" i="1"/>
  <c r="AU13" i="1"/>
  <c r="AU12" i="1"/>
  <c r="AU11" i="1"/>
  <c r="AU10" i="1"/>
  <c r="AS27" i="1"/>
  <c r="AS26" i="1"/>
  <c r="AS25" i="1"/>
  <c r="AS24" i="1"/>
  <c r="AS23" i="1"/>
  <c r="AS22" i="1"/>
  <c r="AS15" i="1"/>
  <c r="AS14" i="1"/>
  <c r="AS12" i="1"/>
  <c r="AS11" i="1"/>
  <c r="BB26" i="1"/>
  <c r="BB25" i="1"/>
  <c r="BC25" i="1" s="1"/>
  <c r="BB24" i="1"/>
  <c r="BC24" i="1" s="1"/>
  <c r="BB23" i="1"/>
  <c r="BC23" i="1" s="1"/>
  <c r="BB22" i="1"/>
  <c r="BC22" i="1" s="1"/>
  <c r="BB14" i="1"/>
  <c r="BB13" i="1"/>
  <c r="BC13" i="1" s="1"/>
  <c r="BB12" i="1"/>
  <c r="BC12" i="1" s="1"/>
  <c r="BB10" i="1"/>
  <c r="BA27" i="1"/>
  <c r="BA26" i="1"/>
  <c r="BA25" i="1"/>
  <c r="BA24" i="1"/>
  <c r="BA23" i="1"/>
  <c r="BA22" i="1"/>
  <c r="BA28" i="1" s="1"/>
  <c r="BA15" i="1"/>
  <c r="BA14" i="1"/>
  <c r="BA13" i="1"/>
  <c r="BA12" i="1"/>
  <c r="BA10" i="1"/>
  <c r="AX26" i="1"/>
  <c r="AX25" i="1"/>
  <c r="AX24" i="1"/>
  <c r="AX23" i="1"/>
  <c r="AX22" i="1"/>
  <c r="AX14" i="1"/>
  <c r="AX13" i="1"/>
  <c r="AX12" i="1"/>
  <c r="AX10" i="1"/>
  <c r="AW27" i="1"/>
  <c r="AW26" i="1"/>
  <c r="AW25" i="1"/>
  <c r="AW24" i="1"/>
  <c r="AW23" i="1"/>
  <c r="AY23" i="1" s="1"/>
  <c r="AW22" i="1"/>
  <c r="AW15" i="1"/>
  <c r="AW14" i="1"/>
  <c r="AW13" i="1"/>
  <c r="AW12" i="1"/>
  <c r="AT27" i="1"/>
  <c r="AT26" i="1"/>
  <c r="AT25" i="1"/>
  <c r="AT24" i="1"/>
  <c r="AT23" i="1"/>
  <c r="AT22" i="1"/>
  <c r="AT15" i="1"/>
  <c r="AT14" i="1"/>
  <c r="AT13" i="1"/>
  <c r="AT12" i="1"/>
  <c r="AT10" i="1"/>
  <c r="AS10" i="1"/>
  <c r="AS21" i="1"/>
  <c r="AS9" i="1"/>
  <c r="K27" i="1"/>
  <c r="L27" i="1" s="1"/>
  <c r="K26" i="1"/>
  <c r="L26" i="1" s="1"/>
  <c r="K25" i="1"/>
  <c r="L25" i="1" s="1"/>
  <c r="K24" i="1"/>
  <c r="L24" i="1"/>
  <c r="K23" i="1"/>
  <c r="L23" i="1" s="1"/>
  <c r="K22" i="1"/>
  <c r="L22" i="1"/>
  <c r="K21" i="1"/>
  <c r="L21" i="1" s="1"/>
  <c r="K15" i="1"/>
  <c r="L15" i="1" s="1"/>
  <c r="K14" i="1"/>
  <c r="L14" i="1" s="1"/>
  <c r="K13" i="1"/>
  <c r="L13" i="1" s="1"/>
  <c r="K11" i="1"/>
  <c r="L11" i="1" s="1"/>
  <c r="K10" i="1"/>
  <c r="L10" i="1"/>
  <c r="K9" i="1"/>
  <c r="L9" i="1" s="1"/>
  <c r="Q15" i="1"/>
  <c r="Q14" i="1"/>
  <c r="Q13" i="1"/>
  <c r="Q11" i="1"/>
  <c r="Q10" i="1"/>
  <c r="Q9" i="1"/>
  <c r="Q27" i="1"/>
  <c r="Q26" i="1"/>
  <c r="Q25" i="1"/>
  <c r="Q24" i="1"/>
  <c r="Q23" i="1"/>
  <c r="Q22" i="1"/>
  <c r="Q21" i="1"/>
  <c r="O52" i="11"/>
  <c r="BC26" i="1"/>
  <c r="BB11" i="1"/>
  <c r="BA11" i="1"/>
  <c r="AW11" i="1"/>
  <c r="AT11" i="1"/>
  <c r="AX11" i="1"/>
  <c r="T15" i="1"/>
  <c r="V15" i="1" s="1"/>
  <c r="P15" i="1"/>
  <c r="P14" i="1"/>
  <c r="AC27" i="1"/>
  <c r="AD27" i="1"/>
  <c r="AC26" i="1"/>
  <c r="AD26" i="1"/>
  <c r="AC25" i="1"/>
  <c r="AD25" i="1" s="1"/>
  <c r="AC24" i="1"/>
  <c r="AD24" i="1"/>
  <c r="AC23" i="1"/>
  <c r="AC22" i="1"/>
  <c r="AD22" i="1" s="1"/>
  <c r="AC21" i="1"/>
  <c r="AD21" i="1" s="1"/>
  <c r="AC15" i="1"/>
  <c r="AD15" i="1" s="1"/>
  <c r="AC14" i="1"/>
  <c r="AD14" i="1"/>
  <c r="AC13" i="1"/>
  <c r="AD13" i="1" s="1"/>
  <c r="AC12" i="1"/>
  <c r="AD12" i="1" s="1"/>
  <c r="AC11" i="1"/>
  <c r="AD11" i="1" s="1"/>
  <c r="AC10" i="1"/>
  <c r="AC9" i="1"/>
  <c r="AD9" i="1" s="1"/>
  <c r="AD10" i="1"/>
  <c r="T23" i="1"/>
  <c r="P23" i="1"/>
  <c r="AT21" i="1"/>
  <c r="AT9" i="1"/>
  <c r="AU21" i="1"/>
  <c r="AU9" i="1"/>
  <c r="AY27" i="1"/>
  <c r="AY15" i="1"/>
  <c r="AZ15" i="1"/>
  <c r="AZ26" i="1"/>
  <c r="AZ25" i="1"/>
  <c r="AZ24" i="1"/>
  <c r="AZ23" i="1"/>
  <c r="AZ14" i="1"/>
  <c r="AZ12" i="1"/>
  <c r="AZ11" i="1"/>
  <c r="AZ10" i="1"/>
  <c r="AH30" i="1"/>
  <c r="N28" i="11"/>
  <c r="M28" i="11"/>
  <c r="N27" i="11"/>
  <c r="M27" i="11"/>
  <c r="N26" i="11"/>
  <c r="M26" i="11"/>
  <c r="N25" i="11"/>
  <c r="M25" i="11"/>
  <c r="N24" i="11"/>
  <c r="M24" i="11"/>
  <c r="N23" i="11"/>
  <c r="M23" i="11"/>
  <c r="N22" i="11"/>
  <c r="P22" i="11" s="1"/>
  <c r="M22" i="11"/>
  <c r="N16" i="11"/>
  <c r="M16" i="11"/>
  <c r="N15" i="11"/>
  <c r="M15" i="11"/>
  <c r="N14" i="11"/>
  <c r="M14" i="11"/>
  <c r="N13" i="11"/>
  <c r="M13" i="11"/>
  <c r="N12" i="11"/>
  <c r="M12" i="11"/>
  <c r="N11" i="11"/>
  <c r="M11" i="11"/>
  <c r="N10" i="11"/>
  <c r="M10" i="11"/>
  <c r="D28" i="11"/>
  <c r="C28" i="11"/>
  <c r="D27" i="11"/>
  <c r="C27" i="11"/>
  <c r="D26" i="11"/>
  <c r="C26" i="11"/>
  <c r="D25" i="11"/>
  <c r="C25" i="11"/>
  <c r="D24" i="11"/>
  <c r="C24" i="11"/>
  <c r="D23" i="11"/>
  <c r="C23" i="11"/>
  <c r="D22" i="11"/>
  <c r="C22" i="11"/>
  <c r="D16" i="11"/>
  <c r="C16" i="11"/>
  <c r="D15" i="11"/>
  <c r="C15" i="11"/>
  <c r="D14" i="11"/>
  <c r="C14" i="11"/>
  <c r="D13" i="11"/>
  <c r="C13" i="11"/>
  <c r="D12" i="11"/>
  <c r="C12" i="11"/>
  <c r="D11" i="11"/>
  <c r="D10" i="11"/>
  <c r="C10" i="11"/>
  <c r="B28" i="11"/>
  <c r="A28" i="11"/>
  <c r="B27" i="11"/>
  <c r="A27" i="11"/>
  <c r="B26" i="11"/>
  <c r="A26" i="11"/>
  <c r="B25" i="11"/>
  <c r="A25" i="11"/>
  <c r="B24" i="11"/>
  <c r="A24" i="11"/>
  <c r="B23" i="11"/>
  <c r="A23" i="11"/>
  <c r="B22" i="11"/>
  <c r="A22" i="11"/>
  <c r="B16" i="11"/>
  <c r="A16" i="11"/>
  <c r="B15" i="11"/>
  <c r="A15" i="11"/>
  <c r="B14" i="11"/>
  <c r="A14" i="11"/>
  <c r="B13" i="11"/>
  <c r="A13" i="11"/>
  <c r="B12" i="11"/>
  <c r="A12" i="11"/>
  <c r="B11" i="11"/>
  <c r="A11" i="11"/>
  <c r="B10" i="11"/>
  <c r="A10" i="11"/>
  <c r="AZ27" i="1"/>
  <c r="T27" i="1"/>
  <c r="P27" i="1"/>
  <c r="T9" i="1"/>
  <c r="P9" i="1"/>
  <c r="P11" i="1"/>
  <c r="P21" i="1"/>
  <c r="P26" i="1"/>
  <c r="P25" i="1"/>
  <c r="P24" i="1"/>
  <c r="P22" i="1"/>
  <c r="P13" i="1"/>
  <c r="T26" i="1"/>
  <c r="T25" i="1"/>
  <c r="T24" i="1"/>
  <c r="T14" i="1"/>
  <c r="T13" i="1"/>
  <c r="T11" i="1"/>
  <c r="T22" i="1"/>
  <c r="T21" i="1"/>
  <c r="AN13" i="1"/>
  <c r="BC14" i="1"/>
  <c r="AZ13" i="1"/>
  <c r="AZ22" i="1"/>
  <c r="F24" i="11" l="1"/>
  <c r="E22" i="11"/>
  <c r="P53" i="11"/>
  <c r="P52" i="11"/>
  <c r="Q52" i="11" s="1"/>
  <c r="R52" i="11" s="1"/>
  <c r="F58" i="11"/>
  <c r="P10" i="11"/>
  <c r="O40" i="11"/>
  <c r="Q40" i="11" s="1"/>
  <c r="E46" i="11"/>
  <c r="F11" i="11"/>
  <c r="O22" i="11"/>
  <c r="Q22" i="11" s="1"/>
  <c r="R22" i="11" s="1"/>
  <c r="P44" i="11"/>
  <c r="F16" i="11"/>
  <c r="E52" i="11"/>
  <c r="O45" i="11"/>
  <c r="P58" i="11"/>
  <c r="P43" i="11"/>
  <c r="E25" i="11"/>
  <c r="J25" i="11" s="1"/>
  <c r="K25" i="11" s="1"/>
  <c r="P42" i="11"/>
  <c r="O46" i="11"/>
  <c r="O55" i="11"/>
  <c r="O10" i="11"/>
  <c r="O58" i="11"/>
  <c r="F22" i="11"/>
  <c r="G22" i="11" s="1"/>
  <c r="H22" i="11" s="1"/>
  <c r="F40" i="11"/>
  <c r="F52" i="11"/>
  <c r="L16" i="1"/>
  <c r="P45" i="11"/>
  <c r="F23" i="11"/>
  <c r="F27" i="11"/>
  <c r="P16" i="11"/>
  <c r="P25" i="11"/>
  <c r="AC16" i="1"/>
  <c r="AQ13" i="1"/>
  <c r="AO13" i="1"/>
  <c r="E11" i="11"/>
  <c r="J11" i="11" s="1"/>
  <c r="K11" i="11" s="1"/>
  <c r="K28" i="1"/>
  <c r="K30" i="1" s="1"/>
  <c r="AQ27" i="1"/>
  <c r="AO27" i="1"/>
  <c r="L28" i="1"/>
  <c r="L30" i="1" s="1"/>
  <c r="AD16" i="1"/>
  <c r="V21" i="1"/>
  <c r="O25" i="11"/>
  <c r="P55" i="11"/>
  <c r="Q55" i="11" s="1"/>
  <c r="R55" i="11" s="1"/>
  <c r="F10" i="11"/>
  <c r="Y21" i="1"/>
  <c r="AX28" i="1"/>
  <c r="O57" i="11"/>
  <c r="Y15" i="1"/>
  <c r="O27" i="11"/>
  <c r="P15" i="11"/>
  <c r="AC28" i="1"/>
  <c r="K16" i="1"/>
  <c r="F46" i="11"/>
  <c r="E40" i="11"/>
  <c r="F55" i="11"/>
  <c r="AY24" i="1"/>
  <c r="P40" i="11"/>
  <c r="E10" i="11"/>
  <c r="J10" i="11" s="1"/>
  <c r="K10" i="11" s="1"/>
  <c r="AL9" i="1" s="1"/>
  <c r="Y9" i="1"/>
  <c r="AU28" i="1"/>
  <c r="AY14" i="1"/>
  <c r="BB28" i="1"/>
  <c r="AY11" i="1"/>
  <c r="AY25" i="1"/>
  <c r="AY26" i="1"/>
  <c r="P56" i="11"/>
  <c r="O26" i="11"/>
  <c r="O56" i="11"/>
  <c r="E56" i="11"/>
  <c r="O54" i="11"/>
  <c r="W21" i="1"/>
  <c r="X21" i="1" s="1"/>
  <c r="P46" i="11"/>
  <c r="Q46" i="11" s="1"/>
  <c r="R46" i="11" s="1"/>
  <c r="V9" i="1"/>
  <c r="W9" i="1" s="1"/>
  <c r="AD23" i="1"/>
  <c r="AD28" i="1" s="1"/>
  <c r="O28" i="11"/>
  <c r="P28" i="11"/>
  <c r="E58" i="11"/>
  <c r="G58" i="11" s="1"/>
  <c r="H58" i="11" s="1"/>
  <c r="Y27" i="1"/>
  <c r="E28" i="11"/>
  <c r="J28" i="11" s="1"/>
  <c r="K28" i="11" s="1"/>
  <c r="F28" i="11"/>
  <c r="AP27" i="1"/>
  <c r="V27" i="1"/>
  <c r="W27" i="1" s="1"/>
  <c r="X27" i="1" s="1"/>
  <c r="P27" i="11"/>
  <c r="E27" i="11"/>
  <c r="P26" i="11"/>
  <c r="E55" i="11"/>
  <c r="AZ28" i="1"/>
  <c r="P54" i="11"/>
  <c r="O53" i="11"/>
  <c r="P23" i="11"/>
  <c r="O23" i="11"/>
  <c r="E23" i="11"/>
  <c r="J23" i="11" s="1"/>
  <c r="K23" i="11" s="1"/>
  <c r="O15" i="11"/>
  <c r="O44" i="11"/>
  <c r="F44" i="11"/>
  <c r="E44" i="11"/>
  <c r="O13" i="11"/>
  <c r="O43" i="11"/>
  <c r="Y12" i="1"/>
  <c r="AN12" i="1" s="1"/>
  <c r="AO12" i="1" s="1"/>
  <c r="F12" i="11"/>
  <c r="E42" i="11"/>
  <c r="P12" i="11"/>
  <c r="O42" i="11"/>
  <c r="AZ16" i="1"/>
  <c r="P41" i="11"/>
  <c r="R41" i="11" s="1"/>
  <c r="AU16" i="1"/>
  <c r="Y14" i="1"/>
  <c r="AN14" i="1" s="1"/>
  <c r="BB16" i="1"/>
  <c r="BB30" i="1" s="1"/>
  <c r="BC11" i="1"/>
  <c r="O41" i="11"/>
  <c r="V10" i="1"/>
  <c r="W10" i="1" s="1"/>
  <c r="X10" i="1" s="1"/>
  <c r="BA16" i="1"/>
  <c r="F45" i="11"/>
  <c r="E15" i="11"/>
  <c r="J15" i="11" s="1"/>
  <c r="K15" i="11" s="1"/>
  <c r="F15" i="11"/>
  <c r="E45" i="11"/>
  <c r="V14" i="1"/>
  <c r="O11" i="11"/>
  <c r="Q11" i="11" s="1"/>
  <c r="F41" i="11"/>
  <c r="Y10" i="1"/>
  <c r="AN10" i="1" s="1"/>
  <c r="AO10" i="1" s="1"/>
  <c r="AX16" i="1"/>
  <c r="AY12" i="1"/>
  <c r="AT16" i="1"/>
  <c r="AY13" i="1"/>
  <c r="Y26" i="1"/>
  <c r="AN26" i="1" s="1"/>
  <c r="AP26" i="1" s="1"/>
  <c r="V26" i="1"/>
  <c r="W26" i="1" s="1"/>
  <c r="X26" i="1" s="1"/>
  <c r="P57" i="11"/>
  <c r="Q57" i="11" s="1"/>
  <c r="F57" i="11"/>
  <c r="E57" i="11"/>
  <c r="Y25" i="1"/>
  <c r="AN25" i="1" s="1"/>
  <c r="AO25" i="1" s="1"/>
  <c r="G56" i="11"/>
  <c r="H56" i="11" s="1"/>
  <c r="F26" i="11"/>
  <c r="E26" i="11"/>
  <c r="J26" i="11" s="1"/>
  <c r="K26" i="11" s="1"/>
  <c r="V25" i="1"/>
  <c r="Y24" i="1"/>
  <c r="AN24" i="1" s="1"/>
  <c r="AO24" i="1" s="1"/>
  <c r="V24" i="1"/>
  <c r="F25" i="11"/>
  <c r="P28" i="1"/>
  <c r="O24" i="11"/>
  <c r="P24" i="11"/>
  <c r="E54" i="11"/>
  <c r="Y23" i="1"/>
  <c r="AN23" i="1" s="1"/>
  <c r="AO23" i="1" s="1"/>
  <c r="V23" i="1"/>
  <c r="T28" i="1"/>
  <c r="E24" i="11"/>
  <c r="Y22" i="1"/>
  <c r="AN22" i="1" s="1"/>
  <c r="E53" i="11"/>
  <c r="V22" i="1"/>
  <c r="AP15" i="1"/>
  <c r="AQ15" i="1"/>
  <c r="O16" i="11"/>
  <c r="W15" i="1"/>
  <c r="X15" i="1" s="1"/>
  <c r="E16" i="11"/>
  <c r="P14" i="11"/>
  <c r="V13" i="1"/>
  <c r="W13" i="1" s="1"/>
  <c r="X13" i="1" s="1"/>
  <c r="O14" i="11"/>
  <c r="Y13" i="1"/>
  <c r="P16" i="1"/>
  <c r="AP13" i="1"/>
  <c r="F14" i="11"/>
  <c r="E14" i="11"/>
  <c r="J14" i="11" s="1"/>
  <c r="K14" i="11" s="1"/>
  <c r="T16" i="1"/>
  <c r="V12" i="1"/>
  <c r="W12" i="1" s="1"/>
  <c r="X12" i="1" s="1"/>
  <c r="P13" i="11"/>
  <c r="Q13" i="11" s="1"/>
  <c r="AW28" i="1"/>
  <c r="F43" i="11"/>
  <c r="F13" i="11"/>
  <c r="E43" i="11"/>
  <c r="E13" i="11"/>
  <c r="O12" i="11"/>
  <c r="E12" i="11"/>
  <c r="J12" i="11" s="1"/>
  <c r="K12" i="11" s="1"/>
  <c r="V11" i="1"/>
  <c r="Y11" i="1"/>
  <c r="AN11" i="1" s="1"/>
  <c r="AO11" i="1" s="1"/>
  <c r="AS28" i="1"/>
  <c r="AY22" i="1"/>
  <c r="BC28" i="1"/>
  <c r="E41" i="11"/>
  <c r="G23" i="11" l="1"/>
  <c r="H23" i="11" s="1"/>
  <c r="Q53" i="11"/>
  <c r="R53" i="11" s="1"/>
  <c r="R40" i="11"/>
  <c r="Q10" i="11"/>
  <c r="R10" i="11"/>
  <c r="Q54" i="11"/>
  <c r="R54" i="11" s="1"/>
  <c r="T22" i="11"/>
  <c r="G46" i="11"/>
  <c r="H46" i="11" s="1"/>
  <c r="G52" i="11"/>
  <c r="H52" i="11" s="1"/>
  <c r="Q44" i="11"/>
  <c r="R44" i="11" s="1"/>
  <c r="AD30" i="1"/>
  <c r="G25" i="11"/>
  <c r="Q45" i="11"/>
  <c r="R45" i="11" s="1"/>
  <c r="G55" i="11"/>
  <c r="H55" i="11" s="1"/>
  <c r="Q58" i="11"/>
  <c r="R58" i="11" s="1"/>
  <c r="G27" i="11"/>
  <c r="H27" i="11" s="1"/>
  <c r="Q15" i="11"/>
  <c r="G15" i="11"/>
  <c r="H15" i="11" s="1"/>
  <c r="Q43" i="11"/>
  <c r="R43" i="11" s="1"/>
  <c r="Q42" i="11"/>
  <c r="R42" i="11" s="1"/>
  <c r="G11" i="11"/>
  <c r="H11" i="11" s="1"/>
  <c r="Q28" i="11"/>
  <c r="R28" i="11" s="1"/>
  <c r="AM27" i="1" s="1"/>
  <c r="G42" i="11"/>
  <c r="H42" i="11" s="1"/>
  <c r="G40" i="11"/>
  <c r="H40" i="11" s="1"/>
  <c r="J27" i="11"/>
  <c r="K27" i="11" s="1"/>
  <c r="G10" i="11"/>
  <c r="H10" i="11" s="1"/>
  <c r="AQ26" i="1"/>
  <c r="AO26" i="1"/>
  <c r="Q23" i="11"/>
  <c r="R23" i="11" s="1"/>
  <c r="AC30" i="1"/>
  <c r="AQ22" i="1"/>
  <c r="AO22" i="1"/>
  <c r="AQ14" i="1"/>
  <c r="AO14" i="1"/>
  <c r="X9" i="1"/>
  <c r="AF9" i="1" s="1" a="1"/>
  <c r="AF9" i="1" s="1"/>
  <c r="AJ9" i="1" s="1"/>
  <c r="G57" i="11"/>
  <c r="H57" i="11" s="1"/>
  <c r="Q26" i="11"/>
  <c r="R26" i="11" s="1"/>
  <c r="Q27" i="11"/>
  <c r="Q56" i="11"/>
  <c r="R56" i="11" s="1"/>
  <c r="Q12" i="11"/>
  <c r="R12" i="11" s="1"/>
  <c r="AX30" i="1"/>
  <c r="AQ11" i="1"/>
  <c r="Q25" i="11"/>
  <c r="R25" i="11" s="1"/>
  <c r="AU30" i="1"/>
  <c r="AP24" i="1"/>
  <c r="AQ24" i="1"/>
  <c r="AP23" i="1"/>
  <c r="G28" i="11"/>
  <c r="AP25" i="1"/>
  <c r="AQ25" i="1"/>
  <c r="AZ30" i="1"/>
  <c r="Q24" i="11"/>
  <c r="AQ23" i="1"/>
  <c r="G54" i="11"/>
  <c r="H54" i="11" s="1"/>
  <c r="AN28" i="1"/>
  <c r="AP22" i="1"/>
  <c r="G44" i="11"/>
  <c r="H44" i="11" s="1"/>
  <c r="G43" i="11"/>
  <c r="H43" i="11" s="1"/>
  <c r="AP12" i="1"/>
  <c r="AQ12" i="1"/>
  <c r="AP11" i="1"/>
  <c r="G41" i="11"/>
  <c r="H41" i="11" s="1"/>
  <c r="V16" i="1"/>
  <c r="AQ10" i="1"/>
  <c r="AP10" i="1"/>
  <c r="AN16" i="1"/>
  <c r="AP14" i="1"/>
  <c r="G45" i="11"/>
  <c r="H45" i="11" s="1"/>
  <c r="W14" i="1"/>
  <c r="X14" i="1" s="1"/>
  <c r="R57" i="11"/>
  <c r="R15" i="11"/>
  <c r="W25" i="1"/>
  <c r="X25" i="1" s="1"/>
  <c r="P30" i="1"/>
  <c r="G26" i="11"/>
  <c r="H25" i="11"/>
  <c r="T25" i="11" s="1"/>
  <c r="W24" i="1"/>
  <c r="X24" i="1" s="1"/>
  <c r="T30" i="1"/>
  <c r="W23" i="1"/>
  <c r="X23" i="1" s="1"/>
  <c r="J24" i="11"/>
  <c r="K24" i="11" s="1"/>
  <c r="G24" i="11"/>
  <c r="G53" i="11"/>
  <c r="W22" i="1"/>
  <c r="X22" i="1" s="1"/>
  <c r="V28" i="1"/>
  <c r="Q16" i="11"/>
  <c r="J16" i="11"/>
  <c r="K16" i="11" s="1"/>
  <c r="G16" i="11"/>
  <c r="Q14" i="11"/>
  <c r="G14" i="11"/>
  <c r="R13" i="11"/>
  <c r="G13" i="11"/>
  <c r="J13" i="11"/>
  <c r="K13" i="11" s="1"/>
  <c r="G12" i="11"/>
  <c r="W11" i="1"/>
  <c r="X11" i="1" s="1"/>
  <c r="AY28" i="1"/>
  <c r="T23" i="11" l="1"/>
  <c r="T10" i="11"/>
  <c r="T15" i="11"/>
  <c r="Q59" i="11"/>
  <c r="R59" i="11"/>
  <c r="R47" i="11"/>
  <c r="Q47" i="11"/>
  <c r="AQ16" i="1"/>
  <c r="AQ28" i="1"/>
  <c r="R27" i="11"/>
  <c r="Q29" i="11"/>
  <c r="R24" i="11"/>
  <c r="H28" i="11"/>
  <c r="AN30" i="1"/>
  <c r="AP28" i="1"/>
  <c r="Q17" i="11"/>
  <c r="G17" i="11"/>
  <c r="R11" i="11"/>
  <c r="T11" i="11" s="1"/>
  <c r="AP16" i="1"/>
  <c r="H12" i="11"/>
  <c r="T12" i="11" s="1"/>
  <c r="W16" i="1"/>
  <c r="V30" i="1"/>
  <c r="G47" i="11"/>
  <c r="H47" i="11"/>
  <c r="H26" i="11"/>
  <c r="T26" i="11" s="1"/>
  <c r="AM28" i="1"/>
  <c r="W28" i="1"/>
  <c r="H24" i="11"/>
  <c r="G29" i="11"/>
  <c r="H53" i="11"/>
  <c r="H59" i="11" s="1"/>
  <c r="G59" i="11"/>
  <c r="R16" i="11"/>
  <c r="H16" i="11"/>
  <c r="R14" i="11"/>
  <c r="H14" i="11"/>
  <c r="H13" i="11"/>
  <c r="T13" i="11" s="1"/>
  <c r="AL23" i="1" l="1"/>
  <c r="AL28" i="1" s="1"/>
  <c r="T24" i="11"/>
  <c r="R29" i="11"/>
  <c r="AL27" i="1"/>
  <c r="T28" i="11"/>
  <c r="T27" i="11"/>
  <c r="T16" i="11"/>
  <c r="AL13" i="1"/>
  <c r="AL16" i="1" s="1"/>
  <c r="T14" i="11"/>
  <c r="AQ30" i="1"/>
  <c r="AM13" i="1"/>
  <c r="AM16" i="1" s="1"/>
  <c r="AM30" i="1" s="1"/>
  <c r="AP30" i="1"/>
  <c r="W30" i="1"/>
  <c r="H29" i="11"/>
  <c r="R17" i="11"/>
  <c r="H17" i="11"/>
  <c r="T29" i="11" l="1"/>
  <c r="T17" i="11"/>
  <c r="AL30" i="1"/>
  <c r="AF22" i="1" l="1" a="1"/>
  <c r="AF22" i="1" s="1"/>
  <c r="AF27" i="1" l="1" a="1"/>
  <c r="AF27" i="1" s="1"/>
  <c r="AF26" i="1" a="1"/>
  <c r="AF26" i="1" s="1"/>
  <c r="AF14" i="1" a="1"/>
  <c r="AF14" i="1" s="1"/>
  <c r="AF13" i="1" a="1"/>
  <c r="AF13" i="1" s="1"/>
  <c r="AF11" i="1" a="1"/>
  <c r="AF11" i="1" s="1"/>
  <c r="AF15" i="1" a="1"/>
  <c r="AF15" i="1" s="1"/>
  <c r="AF12" i="1" a="1"/>
  <c r="AF12" i="1" s="1"/>
  <c r="AI12" i="1" s="1"/>
  <c r="AF25" i="1" a="1"/>
  <c r="AF25" i="1" s="1"/>
  <c r="AF24" i="1" a="1"/>
  <c r="AF24" i="1" s="1"/>
  <c r="AG22" i="1"/>
  <c r="AI22" i="1"/>
  <c r="AS13" i="1"/>
  <c r="AI27" i="1" l="1"/>
  <c r="AG27" i="1"/>
  <c r="AG12" i="1"/>
  <c r="AJ12" i="1" s="1"/>
  <c r="AJ22" i="1"/>
  <c r="AS16" i="1"/>
  <c r="AS30" i="1" s="1"/>
  <c r="AI13" i="1"/>
  <c r="AG13" i="1"/>
  <c r="AI26" i="1"/>
  <c r="AG26" i="1"/>
  <c r="AI15" i="1"/>
  <c r="AG15" i="1"/>
  <c r="AI24" i="1"/>
  <c r="AG24" i="1"/>
  <c r="AI25" i="1"/>
  <c r="AG25" i="1"/>
  <c r="AI11" i="1"/>
  <c r="AG11" i="1"/>
  <c r="AG14" i="1"/>
  <c r="AI14" i="1"/>
  <c r="AF10" i="1" l="1" a="1"/>
  <c r="AF10" i="1" s="1"/>
  <c r="BC10" i="1"/>
  <c r="AJ27" i="1"/>
  <c r="AF23" i="1" a="1"/>
  <c r="AF23" i="1" s="1"/>
  <c r="AW10" i="1"/>
  <c r="AJ13" i="1"/>
  <c r="AJ25" i="1"/>
  <c r="AJ14" i="1"/>
  <c r="X16" i="1"/>
  <c r="AJ11" i="1"/>
  <c r="AJ24" i="1"/>
  <c r="AJ26" i="1"/>
  <c r="X28" i="1"/>
  <c r="BC16" i="1" l="1"/>
  <c r="BC30" i="1" s="1"/>
  <c r="AW16" i="1"/>
  <c r="AY10" i="1"/>
  <c r="AI10" i="1"/>
  <c r="AG10" i="1"/>
  <c r="AG16" i="1" s="1"/>
  <c r="AF16" i="1"/>
  <c r="AI23" i="1"/>
  <c r="AG23" i="1"/>
  <c r="AF28" i="1"/>
  <c r="X30" i="1"/>
  <c r="AF30" i="1" l="1"/>
  <c r="AJ10" i="1"/>
  <c r="AI16" i="1"/>
  <c r="AY16" i="1"/>
  <c r="AG28" i="1"/>
  <c r="AG30" i="1" s="1"/>
  <c r="AI28" i="1"/>
  <c r="AJ23" i="1"/>
  <c r="AI30" i="1" l="1"/>
  <c r="AJ16" i="1"/>
  <c r="AJ28" i="1"/>
  <c r="AJ3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5" authorId="0" shapeId="0" xr:uid="{B3003DB8-C888-44F2-A8C9-990243F0950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start or addition of a paid crib break if applicable</t>
        </r>
      </text>
    </comment>
    <comment ref="AA5" authorId="0" shapeId="0" xr:uid="{AE377CF1-A68A-4F81-B011-5CE272800B4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start of a paid crib break if applicable</t>
        </r>
      </text>
    </comment>
    <comment ref="AF5" authorId="0" shapeId="0" xr:uid="{AC13B453-D37F-4654-82E4-573B75523F2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Also picks up pre-start overtime</t>
        </r>
      </text>
    </comment>
    <comment ref="BB5" authorId="0" shapeId="0" xr:uid="{7956905A-6AF9-40B7-8168-5C46DAB4FC7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1.5 is paid for the 1st. 3 hrs</t>
        </r>
      </text>
    </comment>
    <comment ref="BC5" authorId="0" shapeId="0" xr:uid="{47B9E239-220C-440F-B9CA-5E6B84413EB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Double time is paid after 3 hrs
</t>
        </r>
      </text>
    </comment>
    <comment ref="AG9" authorId="0" shapeId="0" xr:uid="{D204021C-736B-44A1-B9C7-ED9DA3B496A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remains zero</t>
        </r>
      </text>
    </comment>
    <comment ref="AG21" authorId="0" shapeId="0" xr:uid="{B186D803-69A4-4138-8CD9-61811598F31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remains zero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1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G22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22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G28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2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G40" authorId="0" shapeId="0" xr:uid="{6BBD57A7-36BD-47DE-A19A-2656D72EE75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40" authorId="0" shapeId="0" xr:uid="{9BD5EE5E-DAC4-41EE-925B-7FDAF48A60D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G52" authorId="0" shapeId="0" xr:uid="{42A705D5-3C83-46F1-B33A-59007276703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52" authorId="0" shapeId="0" xr:uid="{0CF19DCE-56EA-4D6B-B4AE-0FAD1BFC37B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G58" authorId="0" shapeId="0" xr:uid="{5640AF14-2B0F-492E-BB65-90ACF729C0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  <comment ref="Q58" authorId="0" shapeId="0" xr:uid="{ABF6BF9E-98BE-4E8D-AF19-D073599E44B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Insert *0 as the penalty rate is not provided on a Sunday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<sst xmlns="http://schemas.openxmlformats.org/spreadsheetml/2006/main" count="281" uniqueCount="154">
  <si>
    <t>Sunday</t>
  </si>
  <si>
    <t>Monday</t>
  </si>
  <si>
    <t>Tuesday</t>
  </si>
  <si>
    <t>Wednesday</t>
  </si>
  <si>
    <t>Thursday</t>
  </si>
  <si>
    <t>Friday</t>
  </si>
  <si>
    <t>Saturday</t>
  </si>
  <si>
    <t>Sick Day</t>
  </si>
  <si>
    <t>Ot or in excess of 38 hrs in 1 week</t>
  </si>
  <si>
    <t>then 1.5 for 1st. 3 hrs then 2.0 after that</t>
  </si>
  <si>
    <t>Check shift build up time</t>
  </si>
  <si>
    <t>Normal</t>
  </si>
  <si>
    <t>DATE</t>
  </si>
  <si>
    <t>DAY</t>
  </si>
  <si>
    <t>When the time finishes after midnight use:</t>
  </si>
  <si>
    <t>Nil</t>
  </si>
  <si>
    <t>Week 1 Totals :</t>
  </si>
  <si>
    <t>Week 2 Totals :</t>
  </si>
  <si>
    <t>COMBINED TOTAL :</t>
  </si>
  <si>
    <t>WEEK 1</t>
  </si>
  <si>
    <t>WEEK 2</t>
  </si>
  <si>
    <t>Employee Name :</t>
  </si>
  <si>
    <t>Employee Staff # :</t>
  </si>
  <si>
    <t>Annual Leave</t>
  </si>
  <si>
    <t>Long Service Leave</t>
  </si>
  <si>
    <t>N/A</t>
  </si>
  <si>
    <t>Broken Shift</t>
  </si>
  <si>
    <t>check 34.4</t>
  </si>
  <si>
    <t>If you have a day off on a Saturday, are you paid time and a half?</t>
  </si>
  <si>
    <t xml:space="preserve">How many hours is the default hours paid </t>
  </si>
  <si>
    <t>ISSUE TO BE ADDRESSED</t>
  </si>
  <si>
    <t>STATUS</t>
  </si>
  <si>
    <t>START</t>
  </si>
  <si>
    <t>END</t>
  </si>
  <si>
    <t xml:space="preserve">1st. HALF </t>
  </si>
  <si>
    <t xml:space="preserve">2nd. HALF </t>
  </si>
  <si>
    <t>DOUBLE</t>
  </si>
  <si>
    <t>1st. HALF</t>
  </si>
  <si>
    <t>2nd. HALF</t>
  </si>
  <si>
    <t>NO WORK</t>
  </si>
  <si>
    <t>PUBLIC HOLIDAY</t>
  </si>
  <si>
    <t>Start</t>
  </si>
  <si>
    <t>End</t>
  </si>
  <si>
    <t>Total</t>
  </si>
  <si>
    <t>Penalty</t>
  </si>
  <si>
    <t>LATE/EARLY PENALTY RATE HOURS</t>
  </si>
  <si>
    <t>Week 1 - 1st. Half Total :</t>
  </si>
  <si>
    <t>Week 1 - 2nd. Half Total :</t>
  </si>
  <si>
    <t>Week 2 - 1st. Half Total :</t>
  </si>
  <si>
    <t>Week 2 - 2nd. Half Total :</t>
  </si>
  <si>
    <t>NOTE TO PENALTY RATE CALCULATOR Cells G19, M19,G25, M25</t>
  </si>
  <si>
    <t>SHIFT DESCRIPTION</t>
  </si>
  <si>
    <t>Is there such a thing as a broken shift penalty of 1.5 and 2.0?</t>
  </si>
  <si>
    <t>ADO</t>
  </si>
  <si>
    <t>RDO</t>
  </si>
  <si>
    <t>Public Holiday</t>
  </si>
  <si>
    <t>ADOC</t>
  </si>
  <si>
    <t>RDOC</t>
  </si>
  <si>
    <t>ADO CANCELLATION IS PAID AT 1.5 FOR THE 1ST 3 HOURS AND 2.O AFTER THAT</t>
  </si>
  <si>
    <t>In progress</t>
  </si>
  <si>
    <t>completed</t>
  </si>
  <si>
    <t>See if i can get a copy of the State Transit Payroll Reference Manual</t>
  </si>
  <si>
    <t>Check hours build-up and how is it calculated</t>
  </si>
  <si>
    <t>Normal shift work hours is considered as 8hrs 15mins</t>
  </si>
  <si>
    <t>hrs</t>
  </si>
  <si>
    <t>NOTE TO DAY OFF - Is it paid at the rate of 8 or 7.6 hrs</t>
  </si>
  <si>
    <t>CHECK ALL THE HOURS ENTERED INTO CALCULATOR PARAMATERS</t>
  </si>
  <si>
    <t>if you work longer than 8hr 15mins on a public holiday is the rate increased to double time</t>
  </si>
  <si>
    <t>1½</t>
  </si>
  <si>
    <t>Public Holiday+Work</t>
  </si>
  <si>
    <t>Sick Day With No Pay</t>
  </si>
  <si>
    <t>ROUNDED</t>
  </si>
  <si>
    <t>HOW TO CONVERT MINUTES TO A FRACTION OF HOUR</t>
  </si>
  <si>
    <t>=A1*24</t>
  </si>
  <si>
    <t>Travel Time</t>
  </si>
  <si>
    <t>TOTAL HOURS</t>
  </si>
  <si>
    <t>ADO DEFAULT</t>
  </si>
  <si>
    <t>High Capacity Allowance</t>
  </si>
  <si>
    <t>ADD-ON #1</t>
  </si>
  <si>
    <t>ADD-ON #2</t>
  </si>
  <si>
    <t>BROKEN SHIFT PENALTY</t>
  </si>
  <si>
    <t>After 10.5 hours</t>
  </si>
  <si>
    <t>9.5-10.5 hours</t>
  </si>
  <si>
    <t>+DEFAULT HOURS</t>
  </si>
  <si>
    <t>ADD-ON #3</t>
  </si>
  <si>
    <t>DEFAULT HOURS PAID</t>
  </si>
  <si>
    <t>HOURS WORKED</t>
  </si>
  <si>
    <t>ROSTERED DAY OFF CANCELLED                (RDOC)</t>
  </si>
  <si>
    <t>ALLOCATED DAY OFF CANCELLED                            (ADOC)</t>
  </si>
  <si>
    <t>EARLY-LATE PENALTY RATE HOURS</t>
  </si>
  <si>
    <t xml:space="preserve">Penalty rate of 15% is paid for the whole shift if you sign on after 5:00pm and finish before 7:00am excluding Saturdays, Sundays and Public Holidays </t>
  </si>
  <si>
    <t>In cells G19, M19,G25, M25 *0 inserted in the formula as Sunday, Saturday and Public Holidays not subjected to 15% penalty rate</t>
  </si>
  <si>
    <t>To be changed-in progress</t>
  </si>
  <si>
    <t>However if you start work before 7:00am and finish after 7:00am you are only paid the 15% penalty rate for those hours worked before 7:00am. For example if you start at 2:18am and finish at 8:30am the 15% rate only applies to 4 hours and 42 mins and rounded to the nearest 15 minutes.</t>
  </si>
  <si>
    <t>Converesly if you sign on before 5.00pm and finish after 8:00pm your are paid the 15% penalty rate for the whole shift. For example if you start work at 1:50pm and finish at 8:05pm you are paid the 15% rate for the whole shift.</t>
  </si>
  <si>
    <t>SHIFT #</t>
  </si>
  <si>
    <t>Relief Yard Supervisor</t>
  </si>
  <si>
    <t>SHIFT PENALTY/EXTRA ADD-ONS</t>
  </si>
  <si>
    <t>TOTAL HOURS WORKED</t>
  </si>
  <si>
    <t>Normal/Straight</t>
  </si>
  <si>
    <t>Hrs:mins</t>
  </si>
  <si>
    <t>Decimal Format</t>
  </si>
  <si>
    <t>BALANCE OF TIME DUE FOR PAYMENT</t>
  </si>
  <si>
    <r>
      <t>HOURS WORKED</t>
    </r>
    <r>
      <rPr>
        <sz val="8"/>
        <color theme="1"/>
        <rFont val="Calibri"/>
        <family val="2"/>
        <scheme val="minor"/>
      </rPr>
      <t xml:space="preserve">                  Hrs:mins</t>
    </r>
  </si>
  <si>
    <r>
      <rPr>
        <b/>
        <sz val="11"/>
        <color theme="1"/>
        <rFont val="Calibri"/>
        <family val="2"/>
        <scheme val="minor"/>
      </rPr>
      <t>HOURS WORKED</t>
    </r>
    <r>
      <rPr>
        <sz val="8"/>
        <color theme="1"/>
        <rFont val="Calibri"/>
        <family val="2"/>
        <scheme val="minor"/>
      </rPr>
      <t xml:space="preserve"> Decimal Format</t>
    </r>
  </si>
  <si>
    <r>
      <t xml:space="preserve">VOLUNTARY OVERTIME (VOT) PLUS ALL ROSTERED WORK THAT EXCEEDS 8.25hrs                                                                                                                                           </t>
    </r>
    <r>
      <rPr>
        <sz val="9"/>
        <color theme="1"/>
        <rFont val="Calibri"/>
        <family val="2"/>
        <scheme val="minor"/>
      </rPr>
      <t>That is any work that is rostered or voluntarily accepted in a shift that exceeds 8.25 hr</t>
    </r>
    <r>
      <rPr>
        <b/>
        <sz val="9"/>
        <color theme="1"/>
        <rFont val="Calibri"/>
        <family val="2"/>
        <scheme val="minor"/>
      </rPr>
      <t>s</t>
    </r>
  </si>
  <si>
    <t>z</t>
  </si>
  <si>
    <t>Day Off - No Pay</t>
  </si>
  <si>
    <t>UNPAID BREAK</t>
  </si>
  <si>
    <t>Make sure that the Pre-start entry madeispicked up by all cells related to it</t>
  </si>
  <si>
    <t xml:space="preserve">PRE-START OVERTIME </t>
  </si>
  <si>
    <t>in column AU it conflicts with time and a half in overtime .. Time and a half This should be captued in column AU only</t>
  </si>
  <si>
    <t xml:space="preserve">TOTAL SPREAD </t>
  </si>
  <si>
    <t>No Build-Up Time</t>
  </si>
  <si>
    <t xml:space="preserve">CALCULATOR # 1. </t>
  </si>
  <si>
    <t xml:space="preserve">CALCULATOR # 2. </t>
  </si>
  <si>
    <t>FINISH OFF !!!</t>
  </si>
  <si>
    <t>Senior Bus/Yard Ops</t>
  </si>
  <si>
    <t>NIL</t>
  </si>
  <si>
    <t>ADD DONS SHIFT</t>
  </si>
  <si>
    <t>Classification :</t>
  </si>
  <si>
    <t>Trainee Bus Operator</t>
  </si>
  <si>
    <t>Bus Operator</t>
  </si>
  <si>
    <t>Senior Bus Operator</t>
  </si>
  <si>
    <t>Yard Supervisor</t>
  </si>
  <si>
    <t xml:space="preserve"> PAY CLASSIFICATION</t>
  </si>
  <si>
    <t>D789</t>
  </si>
  <si>
    <t>D869</t>
  </si>
  <si>
    <t>CAREFUL !! MANUALLY ADD PENALTY FOR WORK AFTER 8:00PM</t>
  </si>
  <si>
    <t>FINISHING AFTER 8:00PM</t>
  </si>
  <si>
    <t>Brookvale</t>
  </si>
  <si>
    <t>Duty Officer</t>
  </si>
  <si>
    <t>NAME and STAFF #</t>
  </si>
  <si>
    <t>John Busdriver</t>
  </si>
  <si>
    <t>Michael Geraghty</t>
  </si>
  <si>
    <t>DEPOT</t>
  </si>
  <si>
    <t>North Sydney</t>
  </si>
  <si>
    <t>Mona Vale</t>
  </si>
  <si>
    <t xml:space="preserve">Anne O'Brien        </t>
  </si>
  <si>
    <t>A106</t>
  </si>
  <si>
    <t>A144</t>
  </si>
  <si>
    <t>9A122</t>
  </si>
  <si>
    <t>D774</t>
  </si>
  <si>
    <t>8A180</t>
  </si>
  <si>
    <t>A154</t>
  </si>
  <si>
    <t>Numa Peter Rupa</t>
  </si>
  <si>
    <t>A110</t>
  </si>
  <si>
    <t>A112</t>
  </si>
  <si>
    <t>D736</t>
  </si>
  <si>
    <t>D831</t>
  </si>
  <si>
    <t>EARLY/LATE PENALTY CALCULATOR FOR SHIFT WORK TIMES THAT START BEFORE 5:00PM AND FINISH AFTER 8:00PM</t>
  </si>
  <si>
    <t xml:space="preserve">EARLY/LATE PENALTY CALCULATOR FOR SHIFT WORK TIMES PRO-RATA ON AN HOURLY BASIS STARTING BEFORE 6.59AM AND FINISHING AFTER 7:00AM </t>
  </si>
  <si>
    <t>TOTAL</t>
  </si>
  <si>
    <t>THIS WAS CHANGED TO 5:00pm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</si>
</sst>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h]:mm"/>
    <numFmt numFmtId="165" formatCode="#,##0.00_ ;\-#,##0.00\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202124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theme="0" tint="-0.499984740745262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12" fillId="0" borderId="0"/>
  </cellStyleXfs>
  <cellXfs count="194">
    <xf numFmtId="0" fontId="0" fillId="0" borderId="0" xfId="0"/>
    <xf numFmtId="0" fontId="2" fillId="0" borderId="0" xfId="0" applyFont="1"/>
    <xf numFmtId="0" fontId="4" fillId="0" borderId="0" xfId="0" applyFont="1"/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20" fontId="4" fillId="4" borderId="0" xfId="0" applyNumberFormat="1" applyFont="1" applyFill="1" applyAlignment="1">
      <alignment horizontal="center" vertical="center"/>
    </xf>
    <xf numFmtId="20" fontId="4" fillId="5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20" fontId="4" fillId="2" borderId="0" xfId="0" applyNumberFormat="1" applyFont="1" applyFill="1" applyAlignment="1">
      <alignment horizontal="center" vertical="center"/>
    </xf>
    <xf numFmtId="20" fontId="4" fillId="3" borderId="0" xfId="0" applyNumberFormat="1" applyFont="1" applyFill="1" applyAlignment="1">
      <alignment horizontal="center" vertical="center"/>
    </xf>
    <xf numFmtId="0" fontId="4" fillId="5" borderId="0" xfId="0" applyFont="1" applyFill="1"/>
    <xf numFmtId="4" fontId="4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0" fontId="1" fillId="5" borderId="0" xfId="0" applyFont="1" applyFill="1" applyAlignment="1">
      <alignment horizontal="center" vertical="center" wrapText="1"/>
    </xf>
    <xf numFmtId="14" fontId="4" fillId="4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4" fontId="4" fillId="4" borderId="0" xfId="0" applyNumberFormat="1" applyFont="1" applyFill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3" fillId="5" borderId="0" xfId="0" applyNumberFormat="1" applyFont="1" applyFill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4" fontId="0" fillId="0" borderId="0" xfId="0" applyNumberFormat="1"/>
    <xf numFmtId="2" fontId="4" fillId="4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4" fontId="4" fillId="6" borderId="0" xfId="0" applyNumberFormat="1" applyFont="1" applyFill="1" applyAlignment="1">
      <alignment horizontal="center" vertical="center"/>
    </xf>
    <xf numFmtId="14" fontId="4" fillId="6" borderId="0" xfId="0" applyNumberFormat="1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center" vertical="center"/>
    </xf>
    <xf numFmtId="2" fontId="4" fillId="6" borderId="0" xfId="0" applyNumberFormat="1" applyFont="1" applyFill="1" applyAlignment="1">
      <alignment horizontal="center" vertical="center"/>
    </xf>
    <xf numFmtId="20" fontId="4" fillId="0" borderId="0" xfId="0" applyNumberFormat="1" applyFont="1" applyAlignment="1">
      <alignment horizontal="center" vertical="center"/>
    </xf>
    <xf numFmtId="14" fontId="1" fillId="5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20" fontId="4" fillId="5" borderId="2" xfId="0" applyNumberFormat="1" applyFont="1" applyFill="1" applyBorder="1" applyAlignment="1">
      <alignment horizontal="center" vertical="center"/>
    </xf>
    <xf numFmtId="4" fontId="3" fillId="5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3" fontId="0" fillId="0" borderId="0" xfId="2" applyFont="1" applyAlignment="1">
      <alignment vertical="center"/>
    </xf>
    <xf numFmtId="0" fontId="0" fillId="0" borderId="2" xfId="0" applyBorder="1" applyAlignment="1">
      <alignment vertical="center"/>
    </xf>
    <xf numFmtId="1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right" vertical="center"/>
    </xf>
    <xf numFmtId="14" fontId="4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3" fontId="1" fillId="0" borderId="0" xfId="0" applyNumberFormat="1" applyFont="1" applyAlignment="1">
      <alignment vertical="center"/>
    </xf>
    <xf numFmtId="0" fontId="0" fillId="0" borderId="0" xfId="0" applyAlignment="1">
      <alignment wrapText="1"/>
    </xf>
    <xf numFmtId="0" fontId="17" fillId="8" borderId="0" xfId="0" applyFont="1" applyFill="1" applyAlignment="1">
      <alignment horizontal="center" vertical="center"/>
    </xf>
    <xf numFmtId="0" fontId="16" fillId="8" borderId="0" xfId="0" applyFont="1" applyFill="1" applyAlignment="1">
      <alignment vertical="center"/>
    </xf>
    <xf numFmtId="14" fontId="18" fillId="8" borderId="0" xfId="0" applyNumberFormat="1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 wrapText="1"/>
    </xf>
    <xf numFmtId="0" fontId="15" fillId="8" borderId="0" xfId="0" applyFont="1" applyFill="1" applyAlignment="1">
      <alignment horizontal="center" vertical="center" wrapText="1"/>
    </xf>
    <xf numFmtId="0" fontId="15" fillId="8" borderId="0" xfId="0" applyFont="1" applyFill="1" applyAlignment="1">
      <alignment horizontal="center" vertical="center"/>
    </xf>
    <xf numFmtId="43" fontId="0" fillId="2" borderId="0" xfId="2" applyFont="1" applyFill="1" applyAlignment="1">
      <alignment vertical="center"/>
    </xf>
    <xf numFmtId="20" fontId="0" fillId="6" borderId="0" xfId="0" applyNumberFormat="1" applyFill="1" applyAlignment="1">
      <alignment vertical="center"/>
    </xf>
    <xf numFmtId="43" fontId="0" fillId="6" borderId="0" xfId="2" applyFont="1" applyFill="1" applyAlignment="1">
      <alignment vertical="center"/>
    </xf>
    <xf numFmtId="43" fontId="0" fillId="6" borderId="0" xfId="0" applyNumberFormat="1" applyFill="1" applyAlignment="1">
      <alignment vertical="center"/>
    </xf>
    <xf numFmtId="20" fontId="0" fillId="3" borderId="0" xfId="0" applyNumberFormat="1" applyFill="1" applyAlignment="1">
      <alignment vertical="center"/>
    </xf>
    <xf numFmtId="43" fontId="0" fillId="3" borderId="0" xfId="2" applyFont="1" applyFill="1" applyAlignment="1">
      <alignment vertical="center"/>
    </xf>
    <xf numFmtId="43" fontId="0" fillId="3" borderId="0" xfId="0" applyNumberFormat="1" applyFill="1" applyAlignment="1">
      <alignment vertical="center"/>
    </xf>
    <xf numFmtId="20" fontId="0" fillId="2" borderId="0" xfId="0" applyNumberFormat="1" applyFill="1" applyAlignment="1">
      <alignment vertical="center"/>
    </xf>
    <xf numFmtId="43" fontId="0" fillId="2" borderId="0" xfId="0" applyNumberFormat="1" applyFill="1" applyAlignment="1">
      <alignment vertical="center"/>
    </xf>
    <xf numFmtId="20" fontId="0" fillId="4" borderId="0" xfId="0" applyNumberFormat="1" applyFill="1" applyAlignment="1">
      <alignment vertical="center"/>
    </xf>
    <xf numFmtId="43" fontId="0" fillId="4" borderId="0" xfId="2" applyFont="1" applyFill="1" applyAlignment="1">
      <alignment vertical="center"/>
    </xf>
    <xf numFmtId="43" fontId="0" fillId="4" borderId="0" xfId="0" applyNumberFormat="1" applyFill="1" applyAlignment="1">
      <alignment vertical="center"/>
    </xf>
    <xf numFmtId="0" fontId="0" fillId="8" borderId="0" xfId="0" applyFill="1"/>
    <xf numFmtId="0" fontId="0" fillId="8" borderId="0" xfId="0" applyFill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quotePrefix="1"/>
    <xf numFmtId="14" fontId="1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2" borderId="0" xfId="0" quotePrefix="1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43" fontId="19" fillId="4" borderId="0" xfId="0" applyNumberFormat="1" applyFont="1" applyFill="1" applyAlignment="1">
      <alignment vertical="center"/>
    </xf>
    <xf numFmtId="4" fontId="4" fillId="6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4" fontId="4" fillId="4" borderId="4" xfId="0" applyNumberFormat="1" applyFont="1" applyFill="1" applyBorder="1" applyAlignment="1">
      <alignment horizontal="center" vertical="center"/>
    </xf>
    <xf numFmtId="20" fontId="4" fillId="9" borderId="0" xfId="0" applyNumberFormat="1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8" fontId="0" fillId="0" borderId="0" xfId="0" applyNumberFormat="1" applyAlignment="1">
      <alignment horizontal="left" vertical="center"/>
    </xf>
    <xf numFmtId="0" fontId="1" fillId="10" borderId="0" xfId="0" applyFont="1" applyFill="1" applyAlignment="1">
      <alignment horizontal="center" vertical="center"/>
    </xf>
    <xf numFmtId="0" fontId="4" fillId="10" borderId="0" xfId="0" applyFont="1" applyFill="1"/>
    <xf numFmtId="0" fontId="4" fillId="10" borderId="0" xfId="0" applyFont="1" applyFill="1" applyAlignment="1">
      <alignment horizontal="center" vertical="center"/>
    </xf>
    <xf numFmtId="4" fontId="1" fillId="10" borderId="0" xfId="0" applyNumberFormat="1" applyFont="1" applyFill="1" applyAlignment="1">
      <alignment horizontal="center" vertical="center"/>
    </xf>
    <xf numFmtId="4" fontId="1" fillId="10" borderId="4" xfId="0" applyNumberFormat="1" applyFont="1" applyFill="1" applyBorder="1" applyAlignment="1">
      <alignment horizontal="center" vertical="center"/>
    </xf>
    <xf numFmtId="0" fontId="17" fillId="8" borderId="0" xfId="0" applyFont="1" applyFill="1"/>
    <xf numFmtId="0" fontId="20" fillId="8" borderId="0" xfId="0" applyFont="1" applyFill="1" applyAlignment="1">
      <alignment horizontal="right" vertical="center"/>
    </xf>
    <xf numFmtId="14" fontId="1" fillId="10" borderId="0" xfId="0" applyNumberFormat="1" applyFont="1" applyFill="1" applyAlignment="1">
      <alignment horizontal="center" vertical="center"/>
    </xf>
    <xf numFmtId="20" fontId="4" fillId="10" borderId="0" xfId="0" applyNumberFormat="1" applyFont="1" applyFill="1" applyAlignment="1">
      <alignment horizontal="center" vertical="center"/>
    </xf>
    <xf numFmtId="2" fontId="1" fillId="10" borderId="0" xfId="0" applyNumberFormat="1" applyFont="1" applyFill="1" applyAlignment="1">
      <alignment horizontal="center" vertical="center"/>
    </xf>
    <xf numFmtId="20" fontId="1" fillId="10" borderId="0" xfId="0" applyNumberFormat="1" applyFont="1" applyFill="1" applyAlignment="1">
      <alignment horizontal="center" vertical="center"/>
    </xf>
    <xf numFmtId="2" fontId="1" fillId="10" borderId="4" xfId="0" applyNumberFormat="1" applyFont="1" applyFill="1" applyBorder="1" applyAlignment="1">
      <alignment horizontal="center" vertical="center"/>
    </xf>
    <xf numFmtId="2" fontId="0" fillId="10" borderId="0" xfId="0" applyNumberFormat="1" applyFill="1" applyAlignment="1">
      <alignment horizontal="center" vertical="center"/>
    </xf>
    <xf numFmtId="0" fontId="0" fillId="10" borderId="0" xfId="0" applyFill="1"/>
    <xf numFmtId="0" fontId="20" fillId="8" borderId="0" xfId="0" applyFont="1" applyFill="1" applyAlignment="1">
      <alignment vertical="center"/>
    </xf>
    <xf numFmtId="4" fontId="20" fillId="8" borderId="0" xfId="0" applyNumberFormat="1" applyFont="1" applyFill="1" applyAlignment="1">
      <alignment vertical="center"/>
    </xf>
    <xf numFmtId="165" fontId="20" fillId="8" borderId="0" xfId="0" applyNumberFormat="1" applyFont="1" applyFill="1" applyAlignment="1">
      <alignment horizontal="center" vertical="center"/>
    </xf>
    <xf numFmtId="4" fontId="20" fillId="8" borderId="0" xfId="0" applyNumberFormat="1" applyFont="1" applyFill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" fontId="4" fillId="6" borderId="6" xfId="0" applyNumberFormat="1" applyFont="1" applyFill="1" applyBorder="1" applyAlignment="1">
      <alignment horizontal="center" vertical="center"/>
    </xf>
    <xf numFmtId="4" fontId="4" fillId="9" borderId="6" xfId="0" applyNumberFormat="1" applyFont="1" applyFill="1" applyBorder="1" applyAlignment="1">
      <alignment horizontal="center" vertical="center"/>
    </xf>
    <xf numFmtId="4" fontId="4" fillId="4" borderId="6" xfId="0" applyNumberFormat="1" applyFont="1" applyFill="1" applyBorder="1" applyAlignment="1">
      <alignment horizontal="center" vertical="center"/>
    </xf>
    <xf numFmtId="2" fontId="1" fillId="10" borderId="6" xfId="0" applyNumberFormat="1" applyFont="1" applyFill="1" applyBorder="1" applyAlignment="1">
      <alignment horizontal="center" vertical="center"/>
    </xf>
    <xf numFmtId="4" fontId="20" fillId="8" borderId="8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4" fontId="20" fillId="8" borderId="9" xfId="0" applyNumberFormat="1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2" fontId="4" fillId="0" borderId="0" xfId="0" applyNumberFormat="1" applyFont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4" fillId="9" borderId="0" xfId="0" applyNumberFormat="1" applyFont="1" applyFill="1" applyAlignment="1">
      <alignment horizontal="center" vertical="center"/>
    </xf>
    <xf numFmtId="164" fontId="1" fillId="10" borderId="0" xfId="0" applyNumberFormat="1" applyFont="1" applyFill="1" applyAlignment="1">
      <alignment horizontal="center" vertical="center"/>
    </xf>
    <xf numFmtId="164" fontId="20" fillId="8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4" fillId="9" borderId="0" xfId="0" applyNumberFormat="1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8" fillId="4" borderId="0" xfId="1" applyFont="1" applyFill="1" applyAlignment="1">
      <alignment horizontal="center" vertical="center"/>
    </xf>
    <xf numFmtId="0" fontId="8" fillId="6" borderId="0" xfId="1" applyFont="1" applyFill="1" applyAlignment="1">
      <alignment horizontal="center" vertical="center"/>
    </xf>
    <xf numFmtId="2" fontId="20" fillId="8" borderId="0" xfId="0" applyNumberFormat="1" applyFont="1" applyFill="1" applyAlignment="1">
      <alignment horizontal="center" vertical="center"/>
    </xf>
    <xf numFmtId="20" fontId="20" fillId="8" borderId="0" xfId="0" applyNumberFormat="1" applyFont="1" applyFill="1" applyAlignment="1">
      <alignment horizontal="center" vertical="center"/>
    </xf>
    <xf numFmtId="2" fontId="23" fillId="6" borderId="0" xfId="0" applyNumberFormat="1" applyFont="1" applyFill="1" applyAlignment="1">
      <alignment horizontal="center" vertical="center"/>
    </xf>
    <xf numFmtId="2" fontId="23" fillId="9" borderId="0" xfId="0" applyNumberFormat="1" applyFont="1" applyFill="1" applyAlignment="1">
      <alignment horizontal="center" vertical="center"/>
    </xf>
    <xf numFmtId="2" fontId="23" fillId="4" borderId="0" xfId="0" applyNumberFormat="1" applyFont="1" applyFill="1" applyAlignment="1">
      <alignment horizontal="center" vertical="center"/>
    </xf>
    <xf numFmtId="2" fontId="23" fillId="0" borderId="0" xfId="0" applyNumberFormat="1" applyFont="1" applyAlignment="1">
      <alignment horizontal="center" vertical="center"/>
    </xf>
    <xf numFmtId="0" fontId="14" fillId="3" borderId="11" xfId="0" applyFont="1" applyFill="1" applyBorder="1" applyAlignment="1">
      <alignment horizontal="center" vertical="center" wrapText="1"/>
    </xf>
    <xf numFmtId="2" fontId="23" fillId="6" borderId="11" xfId="0" applyNumberFormat="1" applyFont="1" applyFill="1" applyBorder="1" applyAlignment="1">
      <alignment horizontal="center" vertical="center"/>
    </xf>
    <xf numFmtId="2" fontId="23" fillId="3" borderId="11" xfId="0" applyNumberFormat="1" applyFont="1" applyFill="1" applyBorder="1" applyAlignment="1">
      <alignment horizontal="center" vertical="center"/>
    </xf>
    <xf numFmtId="2" fontId="23" fillId="4" borderId="11" xfId="0" applyNumberFormat="1" applyFont="1" applyFill="1" applyBorder="1" applyAlignment="1">
      <alignment horizontal="center" vertical="center"/>
    </xf>
    <xf numFmtId="2" fontId="24" fillId="10" borderId="11" xfId="0" applyNumberFormat="1" applyFont="1" applyFill="1" applyBorder="1" applyAlignment="1">
      <alignment horizontal="center" vertical="center"/>
    </xf>
    <xf numFmtId="165" fontId="25" fillId="8" borderId="11" xfId="0" applyNumberFormat="1" applyFont="1" applyFill="1" applyBorder="1" applyAlignment="1">
      <alignment horizontal="center" vertical="center"/>
    </xf>
    <xf numFmtId="0" fontId="0" fillId="7" borderId="0" xfId="0" applyFill="1"/>
    <xf numFmtId="0" fontId="14" fillId="3" borderId="0" xfId="0" applyFont="1" applyFill="1" applyAlignment="1">
      <alignment horizontal="center" vertical="center" wrapText="1"/>
    </xf>
    <xf numFmtId="2" fontId="23" fillId="3" borderId="0" xfId="0" applyNumberFormat="1" applyFont="1" applyFill="1" applyAlignment="1">
      <alignment horizontal="center" vertical="center"/>
    </xf>
    <xf numFmtId="2" fontId="24" fillId="10" borderId="0" xfId="0" applyNumberFormat="1" applyFont="1" applyFill="1" applyAlignment="1">
      <alignment horizontal="center" vertical="center"/>
    </xf>
    <xf numFmtId="165" fontId="25" fillId="8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0" fontId="0" fillId="0" borderId="0" xfId="0" applyAlignment="1">
      <alignment horizontal="right"/>
    </xf>
    <xf numFmtId="2" fontId="0" fillId="0" borderId="0" xfId="0" applyNumberFormat="1"/>
    <xf numFmtId="165" fontId="4" fillId="2" borderId="0" xfId="2" quotePrefix="1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43" fontId="0" fillId="0" borderId="0" xfId="2" applyFont="1" applyFill="1" applyAlignment="1">
      <alignment vertical="center"/>
    </xf>
    <xf numFmtId="0" fontId="1" fillId="0" borderId="0" xfId="0" applyFont="1"/>
    <xf numFmtId="0" fontId="26" fillId="0" borderId="0" xfId="0" applyFont="1"/>
    <xf numFmtId="0" fontId="1" fillId="7" borderId="0" xfId="0" applyFont="1" applyFill="1" applyAlignment="1">
      <alignment vertical="center"/>
    </xf>
    <xf numFmtId="11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15" fillId="0" borderId="0" xfId="0" applyFont="1" applyAlignment="1">
      <alignment horizontal="center" vertical="center"/>
    </xf>
    <xf numFmtId="4" fontId="2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7" borderId="0" xfId="0" applyFont="1" applyFill="1" applyAlignment="1">
      <alignment horizontal="center" vertical="center"/>
    </xf>
    <xf numFmtId="9" fontId="1" fillId="3" borderId="0" xfId="0" applyNumberFormat="1" applyFont="1" applyFill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27" fillId="0" borderId="0" xfId="0" applyFont="1"/>
    <xf numFmtId="0" fontId="2" fillId="0" borderId="0" xfId="0" applyFont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0" fillId="9" borderId="6" xfId="0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0" fontId="1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29</xdr:row>
      <xdr:rowOff>91440</xdr:rowOff>
    </xdr:from>
    <xdr:to>
      <xdr:col>17</xdr:col>
      <xdr:colOff>678180</xdr:colOff>
      <xdr:row>29</xdr:row>
      <xdr:rowOff>91440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9523F11B-3374-5895-9DFA-6A0342F8E6AB}"/>
            </a:ext>
          </a:extLst>
        </xdr:cNvPr>
        <xdr:cNvCxnSpPr/>
      </xdr:nvCxnSpPr>
      <xdr:spPr>
        <a:xfrm>
          <a:off x="76200" y="6240780"/>
          <a:ext cx="9951720" cy="0"/>
        </a:xfrm>
        <a:prstGeom prst="line">
          <a:avLst/>
        </a:prstGeom>
        <a:ln w="3492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259080</xdr:colOff>
      <xdr:row>1</xdr:row>
      <xdr:rowOff>7620</xdr:rowOff>
    </xdr:from>
    <xdr:to>
      <xdr:col>21</xdr:col>
      <xdr:colOff>259080</xdr:colOff>
      <xdr:row>39</xdr:row>
      <xdr:rowOff>68580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1D9C56EA-D6F4-9EDA-A2B7-DE1C825AC5AD}"/>
            </a:ext>
          </a:extLst>
        </xdr:cNvPr>
        <xdr:cNvCxnSpPr/>
      </xdr:nvCxnSpPr>
      <xdr:spPr>
        <a:xfrm>
          <a:off x="10523220" y="335280"/>
          <a:ext cx="0" cy="801624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365760</xdr:colOff>
      <xdr:row>53</xdr:row>
      <xdr:rowOff>236220</xdr:rowOff>
    </xdr:from>
    <xdr:to>
      <xdr:col>5</xdr:col>
      <xdr:colOff>396240</xdr:colOff>
      <xdr:row>59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A68085A-F9D8-8737-695D-FE2D59FFCCA3}"/>
            </a:ext>
          </a:extLst>
        </xdr:cNvPr>
        <xdr:cNvCxnSpPr/>
      </xdr:nvCxnSpPr>
      <xdr:spPr>
        <a:xfrm flipH="1" flipV="1">
          <a:off x="4267200" y="11521440"/>
          <a:ext cx="30480" cy="1272540"/>
        </a:xfrm>
        <a:prstGeom prst="straightConnector1">
          <a:avLst/>
        </a:prstGeom>
        <a:ln w="22225"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2778126</xdr:colOff>
      <xdr:row>2</xdr:row>
      <xdr:rowOff>44450</xdr:rowOff>
    </xdr:from>
    <xdr:to>
      <xdr:col>0</xdr:col>
      <xdr:colOff>4168776</xdr:colOff>
      <xdr:row>2</xdr:row>
      <xdr:rowOff>301625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2778126" y="412750"/>
          <a:ext cx="1390650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=MOD((K19-J19),1)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E31"/>
  <sheetViews>
    <sheetView tabSelected="1" zoomScale="70" zoomScaleNormal="70" workbookViewId="0">
      <pane ySplit="5" topLeftCell="A12" activePane="bottomLeft" state="frozen"/>
      <selection activeCell="AU1" sqref="AU1"/>
      <selection pane="bottomLeft" activeCell="BI15" sqref="BI15"/>
    </sheetView>
  </sheetViews>
  <sheetFormatPr defaultRowHeight="14.4" x14ac:dyDescent="0.3"/>
  <cols>
    <col min="1" max="2" width="12.6640625" customWidth="1"/>
    <col min="3" max="6" width="20.6640625" hidden="1" customWidth="1"/>
    <col min="7" max="7" width="12.6640625" hidden="1" customWidth="1"/>
    <col min="8" max="8" width="1.6640625" hidden="1" customWidth="1"/>
    <col min="9" max="12" width="12.6640625" hidden="1" customWidth="1"/>
    <col min="13" max="13" width="1.6640625" customWidth="1"/>
    <col min="14" max="20" width="12.6640625" customWidth="1"/>
    <col min="21" max="21" width="1.6640625" customWidth="1"/>
    <col min="22" max="25" width="12.6640625" hidden="1" customWidth="1"/>
    <col min="26" max="26" width="1.6640625" hidden="1" customWidth="1"/>
    <col min="27" max="30" width="12.6640625" hidden="1" customWidth="1"/>
    <col min="31" max="31" width="1.6640625" hidden="1" customWidth="1"/>
    <col min="32" max="36" width="12.6640625" hidden="1" customWidth="1"/>
    <col min="37" max="37" width="1.6640625" hidden="1" customWidth="1"/>
    <col min="38" max="43" width="12.6640625" hidden="1" customWidth="1"/>
    <col min="44" max="44" width="1.6640625" hidden="1" customWidth="1"/>
    <col min="45" max="47" width="12.6640625" hidden="1" customWidth="1"/>
    <col min="48" max="48" width="1.6640625" hidden="1" customWidth="1"/>
    <col min="49" max="55" width="12.6640625" hidden="1" customWidth="1"/>
    <col min="56" max="56" width="1.6640625" hidden="1" customWidth="1"/>
  </cols>
  <sheetData>
    <row r="1" spans="1:57" ht="15" customHeight="1" x14ac:dyDescent="0.3">
      <c r="A1" s="168" t="s">
        <v>21</v>
      </c>
      <c r="B1" s="168"/>
      <c r="C1" s="153" t="s">
        <v>134</v>
      </c>
      <c r="D1" s="163"/>
      <c r="E1" s="153"/>
      <c r="F1" s="153"/>
      <c r="G1" s="35"/>
      <c r="H1" s="1"/>
      <c r="I1" s="1"/>
      <c r="J1" s="1"/>
      <c r="K1" s="1"/>
      <c r="L1" s="1"/>
      <c r="M1" s="1"/>
      <c r="AF1" s="150"/>
      <c r="AL1" s="152">
        <f>IF($C1="Normal/Straight",'Penalty Rate Calculator'!$H2,0)+IF(C1="Senior Bus/Yard Ops",'Penalty Rate Calculator'!H2,0)</f>
        <v>0</v>
      </c>
    </row>
    <row r="2" spans="1:57" ht="15" customHeight="1" x14ac:dyDescent="0.3">
      <c r="A2" s="168" t="s">
        <v>22</v>
      </c>
      <c r="B2" s="168"/>
      <c r="C2" s="153">
        <v>894378</v>
      </c>
      <c r="D2" s="153" t="s">
        <v>120</v>
      </c>
      <c r="E2" s="153" t="s">
        <v>122</v>
      </c>
      <c r="F2" s="153"/>
      <c r="G2" s="35"/>
      <c r="H2" s="1"/>
      <c r="I2" s="1"/>
      <c r="J2" s="1"/>
      <c r="K2" s="1"/>
      <c r="L2" s="1"/>
      <c r="M2" s="1"/>
      <c r="AF2" s="142" t="s">
        <v>119</v>
      </c>
      <c r="AG2" s="151"/>
      <c r="AL2" s="142" t="s">
        <v>128</v>
      </c>
      <c r="AN2" s="154"/>
      <c r="AO2" s="154"/>
      <c r="AS2" s="24"/>
      <c r="AW2" s="180"/>
      <c r="AX2" s="181"/>
      <c r="AY2" s="181"/>
      <c r="BB2" s="24"/>
    </row>
    <row r="3" spans="1:57" ht="15.6" x14ac:dyDescent="0.3">
      <c r="A3" s="168"/>
      <c r="B3" s="168"/>
      <c r="C3" s="88"/>
      <c r="D3" s="88"/>
      <c r="E3" s="88"/>
      <c r="F3" s="88"/>
      <c r="G3" s="21"/>
      <c r="H3" s="1"/>
      <c r="I3" s="1"/>
      <c r="J3" s="1"/>
      <c r="K3" s="1"/>
      <c r="L3" s="1"/>
      <c r="M3" s="1"/>
      <c r="N3" s="22"/>
    </row>
    <row r="4" spans="1:57" ht="42" customHeight="1" x14ac:dyDescent="0.3">
      <c r="A4" s="173" t="s">
        <v>12</v>
      </c>
      <c r="B4" s="173" t="s">
        <v>13</v>
      </c>
      <c r="C4" s="173" t="s">
        <v>51</v>
      </c>
      <c r="D4" s="173" t="s">
        <v>97</v>
      </c>
      <c r="E4" s="174"/>
      <c r="F4" s="123"/>
      <c r="G4" s="173" t="s">
        <v>95</v>
      </c>
      <c r="H4" s="13"/>
      <c r="I4" s="169" t="s">
        <v>110</v>
      </c>
      <c r="J4" s="170"/>
      <c r="K4" s="170"/>
      <c r="L4" s="170"/>
      <c r="M4" s="36"/>
      <c r="N4" s="171" t="s">
        <v>34</v>
      </c>
      <c r="O4" s="174"/>
      <c r="P4" s="174"/>
      <c r="Q4" s="173" t="s">
        <v>108</v>
      </c>
      <c r="R4" s="169" t="s">
        <v>35</v>
      </c>
      <c r="S4" s="174"/>
      <c r="T4" s="174"/>
      <c r="U4" s="74"/>
      <c r="V4" s="178" t="s">
        <v>98</v>
      </c>
      <c r="W4" s="179"/>
      <c r="X4" s="178" t="s">
        <v>102</v>
      </c>
      <c r="Y4" s="178" t="s">
        <v>112</v>
      </c>
      <c r="Z4" s="74"/>
      <c r="AA4" s="169" t="s">
        <v>105</v>
      </c>
      <c r="AB4" s="173"/>
      <c r="AC4" s="173"/>
      <c r="AD4" s="173"/>
      <c r="AE4" s="173"/>
      <c r="AF4" s="173"/>
      <c r="AG4" s="173"/>
      <c r="AH4" s="173"/>
      <c r="AI4" s="173"/>
      <c r="AJ4" s="173"/>
      <c r="AK4" s="74"/>
      <c r="AL4" s="171" t="s">
        <v>89</v>
      </c>
      <c r="AM4" s="172"/>
      <c r="AN4" s="177" t="s">
        <v>80</v>
      </c>
      <c r="AO4" s="169"/>
      <c r="AP4" s="170"/>
      <c r="AQ4" s="170"/>
      <c r="AR4" s="74"/>
      <c r="AS4" s="171" t="s">
        <v>40</v>
      </c>
      <c r="AT4" s="171"/>
      <c r="AU4" s="172"/>
      <c r="AV4" s="74"/>
      <c r="AW4" s="169" t="s">
        <v>87</v>
      </c>
      <c r="AX4" s="170"/>
      <c r="AY4" s="170"/>
      <c r="AZ4" s="175" t="s">
        <v>53</v>
      </c>
      <c r="BA4" s="171" t="s">
        <v>88</v>
      </c>
      <c r="BB4" s="172"/>
      <c r="BC4" s="172"/>
      <c r="BD4" s="74"/>
    </row>
    <row r="5" spans="1:57" ht="42" customHeight="1" x14ac:dyDescent="0.3">
      <c r="A5" s="179"/>
      <c r="B5" s="179"/>
      <c r="C5" s="179"/>
      <c r="D5" s="36" t="s">
        <v>78</v>
      </c>
      <c r="E5" s="36" t="s">
        <v>79</v>
      </c>
      <c r="F5" s="36" t="s">
        <v>84</v>
      </c>
      <c r="G5" s="179"/>
      <c r="H5" s="13"/>
      <c r="I5" s="38" t="s">
        <v>32</v>
      </c>
      <c r="J5" s="38" t="s">
        <v>33</v>
      </c>
      <c r="K5" s="38" t="s">
        <v>103</v>
      </c>
      <c r="L5" s="143" t="s">
        <v>104</v>
      </c>
      <c r="M5" s="147"/>
      <c r="N5" s="37" t="s">
        <v>32</v>
      </c>
      <c r="O5" s="37" t="s">
        <v>33</v>
      </c>
      <c r="P5" s="37" t="s">
        <v>86</v>
      </c>
      <c r="Q5" s="179"/>
      <c r="R5" s="38" t="s">
        <v>32</v>
      </c>
      <c r="S5" s="38" t="s">
        <v>33</v>
      </c>
      <c r="T5" s="38" t="s">
        <v>86</v>
      </c>
      <c r="U5" s="36"/>
      <c r="V5" s="125" t="s">
        <v>100</v>
      </c>
      <c r="W5" s="125" t="s">
        <v>101</v>
      </c>
      <c r="X5" s="179"/>
      <c r="Y5" s="179"/>
      <c r="Z5" s="36"/>
      <c r="AA5" s="38" t="s">
        <v>32</v>
      </c>
      <c r="AB5" s="38" t="s">
        <v>33</v>
      </c>
      <c r="AC5" s="38" t="s">
        <v>103</v>
      </c>
      <c r="AD5" s="136" t="s">
        <v>104</v>
      </c>
      <c r="AE5" s="74"/>
      <c r="AF5" s="114" t="s">
        <v>98</v>
      </c>
      <c r="AG5" s="87" t="s">
        <v>85</v>
      </c>
      <c r="AH5" s="36"/>
      <c r="AI5" s="165">
        <v>0.5</v>
      </c>
      <c r="AJ5" s="165">
        <v>1</v>
      </c>
      <c r="AK5" s="36"/>
      <c r="AL5" s="37" t="s">
        <v>37</v>
      </c>
      <c r="AM5" s="37" t="s">
        <v>38</v>
      </c>
      <c r="AN5" s="114" t="s">
        <v>75</v>
      </c>
      <c r="AO5" s="87" t="s">
        <v>85</v>
      </c>
      <c r="AP5" s="38" t="s">
        <v>82</v>
      </c>
      <c r="AQ5" s="38" t="s">
        <v>81</v>
      </c>
      <c r="AR5" s="36"/>
      <c r="AS5" s="37" t="s">
        <v>86</v>
      </c>
      <c r="AT5" s="79" t="s">
        <v>83</v>
      </c>
      <c r="AU5" s="37" t="s">
        <v>39</v>
      </c>
      <c r="AV5" s="36"/>
      <c r="AW5" s="38" t="s">
        <v>86</v>
      </c>
      <c r="AX5" s="38" t="s">
        <v>68</v>
      </c>
      <c r="AY5" s="38" t="s">
        <v>36</v>
      </c>
      <c r="AZ5" s="176"/>
      <c r="BA5" s="37" t="s">
        <v>76</v>
      </c>
      <c r="BB5" s="37" t="s">
        <v>68</v>
      </c>
      <c r="BC5" s="37" t="s">
        <v>36</v>
      </c>
      <c r="BD5" s="36"/>
    </row>
    <row r="6" spans="1:57" ht="5.0999999999999996" customHeight="1" x14ac:dyDescent="0.3">
      <c r="A6" s="13"/>
      <c r="B6" s="13"/>
      <c r="C6" s="13"/>
      <c r="D6" s="13"/>
      <c r="E6" s="13"/>
      <c r="F6" s="13"/>
      <c r="G6" s="13"/>
      <c r="H6" s="13"/>
      <c r="I6" s="36"/>
      <c r="J6" s="36"/>
      <c r="K6" s="36"/>
      <c r="L6" s="36"/>
      <c r="M6" s="36"/>
      <c r="N6" s="13"/>
      <c r="O6" s="13"/>
      <c r="P6" s="13"/>
      <c r="Q6" s="13"/>
      <c r="R6" s="13"/>
      <c r="S6" s="13"/>
      <c r="T6" s="13"/>
      <c r="U6" s="36"/>
      <c r="V6" s="13"/>
      <c r="W6" s="13"/>
      <c r="X6" s="13"/>
      <c r="Y6" s="13"/>
      <c r="Z6" s="36"/>
      <c r="AA6" s="36"/>
      <c r="AB6" s="36"/>
      <c r="AC6" s="36"/>
      <c r="AD6" s="36"/>
      <c r="AE6" s="36"/>
      <c r="AF6" s="13"/>
      <c r="AG6" s="13"/>
      <c r="AH6" s="13"/>
      <c r="AI6" s="13"/>
      <c r="AJ6" s="13"/>
      <c r="AK6" s="36"/>
      <c r="AL6" s="13"/>
      <c r="AM6" s="13"/>
      <c r="AN6" s="36"/>
      <c r="AO6" s="36"/>
      <c r="AP6" s="36"/>
      <c r="AQ6" s="36"/>
      <c r="AR6" s="36"/>
      <c r="AS6" s="13"/>
      <c r="AT6" s="13"/>
      <c r="AU6" s="13"/>
      <c r="AV6" s="36"/>
      <c r="AW6" s="13"/>
      <c r="AX6" s="13"/>
      <c r="AY6" s="13"/>
      <c r="AZ6" s="13"/>
      <c r="BA6" s="13"/>
      <c r="BB6" s="13"/>
      <c r="BC6" s="13"/>
      <c r="BD6" s="36"/>
    </row>
    <row r="7" spans="1:57" ht="20.100000000000001" customHeight="1" x14ac:dyDescent="0.3">
      <c r="A7" s="13" t="s">
        <v>19</v>
      </c>
      <c r="B7" s="13"/>
      <c r="C7" s="13"/>
      <c r="D7" s="13"/>
      <c r="E7" s="13"/>
      <c r="F7" s="13"/>
      <c r="G7" s="13"/>
      <c r="H7" s="13"/>
      <c r="I7" s="36"/>
      <c r="J7" s="36"/>
      <c r="K7" s="36"/>
      <c r="L7" s="36"/>
      <c r="M7" s="36"/>
      <c r="N7" s="13"/>
      <c r="O7" s="13"/>
      <c r="P7" s="13"/>
      <c r="Q7" s="13"/>
      <c r="R7" s="13"/>
      <c r="S7" s="13"/>
      <c r="T7" s="13"/>
      <c r="U7" s="36"/>
      <c r="V7" s="13"/>
      <c r="W7" s="13"/>
      <c r="X7" s="13"/>
      <c r="Y7" s="13"/>
      <c r="Z7" s="36"/>
      <c r="AA7" s="36"/>
      <c r="AB7" s="36"/>
      <c r="AC7" s="36"/>
      <c r="AD7" s="36"/>
      <c r="AE7" s="36"/>
      <c r="AF7" s="13"/>
      <c r="AG7" s="13"/>
      <c r="AH7" s="13"/>
      <c r="AI7" s="13"/>
      <c r="AJ7" s="13"/>
      <c r="AK7" s="36"/>
      <c r="AL7" s="13"/>
      <c r="AM7" s="13"/>
      <c r="AN7" s="36"/>
      <c r="AO7" s="36"/>
      <c r="AP7" s="36"/>
      <c r="AQ7" s="36"/>
      <c r="AR7" s="36"/>
      <c r="AS7" s="13"/>
      <c r="AT7" s="13"/>
      <c r="AU7" s="13"/>
      <c r="AV7" s="36"/>
      <c r="AW7" s="13"/>
      <c r="AX7" s="13"/>
      <c r="AY7" s="13"/>
      <c r="AZ7" s="13"/>
      <c r="BA7" s="13"/>
      <c r="BB7" s="13"/>
      <c r="BC7" s="13"/>
      <c r="BD7" s="36"/>
    </row>
    <row r="8" spans="1:57" ht="5.0999999999999996" customHeight="1" x14ac:dyDescent="0.3">
      <c r="A8" s="13"/>
      <c r="B8" s="13"/>
      <c r="C8" s="13"/>
      <c r="D8" s="13"/>
      <c r="E8" s="13"/>
      <c r="F8" s="13"/>
      <c r="G8" s="13"/>
      <c r="H8" s="13"/>
      <c r="I8" s="36"/>
      <c r="J8" s="36"/>
      <c r="K8" s="36"/>
      <c r="L8" s="36"/>
      <c r="M8" s="36"/>
      <c r="N8" s="13"/>
      <c r="O8" s="13"/>
      <c r="P8" s="13"/>
      <c r="Q8" s="13"/>
      <c r="R8" s="13"/>
      <c r="S8" s="13"/>
      <c r="T8" s="13"/>
      <c r="U8" s="36"/>
      <c r="V8" s="13"/>
      <c r="W8" s="13"/>
      <c r="X8" s="13"/>
      <c r="Y8" s="13"/>
      <c r="Z8" s="36"/>
      <c r="AA8" s="36"/>
      <c r="AB8" s="36"/>
      <c r="AC8" s="36"/>
      <c r="AD8" s="36"/>
      <c r="AE8" s="36"/>
      <c r="AF8" s="13"/>
      <c r="AG8" s="13"/>
      <c r="AH8" s="13"/>
      <c r="AI8" s="13"/>
      <c r="AJ8" s="13"/>
      <c r="AK8" s="36"/>
      <c r="AL8" s="13"/>
      <c r="AM8" s="13"/>
      <c r="AN8" s="36"/>
      <c r="AO8" s="36"/>
      <c r="AP8" s="36"/>
      <c r="AQ8" s="36"/>
      <c r="AR8" s="36"/>
      <c r="AS8" s="13"/>
      <c r="AT8" s="13"/>
      <c r="AU8" s="13"/>
      <c r="AV8" s="36"/>
      <c r="AW8" s="13"/>
      <c r="AX8" s="13"/>
      <c r="AY8" s="13"/>
      <c r="AZ8" s="13"/>
      <c r="BA8" s="13"/>
      <c r="BB8" s="13"/>
      <c r="BC8" s="13"/>
      <c r="BD8" s="36"/>
    </row>
    <row r="9" spans="1:57" ht="30" customHeight="1" x14ac:dyDescent="0.3">
      <c r="A9" s="26">
        <v>44822</v>
      </c>
      <c r="B9" s="129" t="s">
        <v>0</v>
      </c>
      <c r="C9" s="15" t="s">
        <v>99</v>
      </c>
      <c r="D9" s="15" t="s">
        <v>15</v>
      </c>
      <c r="E9" s="15" t="s">
        <v>15</v>
      </c>
      <c r="F9" s="15" t="s">
        <v>113</v>
      </c>
      <c r="G9" s="15" t="s">
        <v>149</v>
      </c>
      <c r="H9" s="4"/>
      <c r="I9" s="27">
        <v>0</v>
      </c>
      <c r="J9" s="27">
        <v>0</v>
      </c>
      <c r="K9" s="27">
        <f>MOD((J9-I9),1)</f>
        <v>0</v>
      </c>
      <c r="L9" s="132">
        <f>SUM(K9)*24</f>
        <v>0</v>
      </c>
      <c r="M9" s="135"/>
      <c r="N9" s="27">
        <v>0</v>
      </c>
      <c r="O9" s="27">
        <v>0</v>
      </c>
      <c r="P9" s="27">
        <f t="shared" ref="P9:P10" si="0">MOD((O9-N9),1)</f>
        <v>0</v>
      </c>
      <c r="Q9" s="29">
        <f t="shared" ref="Q9:Q15" si="1">SUM(R9-O9)</f>
        <v>0</v>
      </c>
      <c r="R9" s="27">
        <v>0</v>
      </c>
      <c r="S9" s="27">
        <v>0</v>
      </c>
      <c r="T9" s="27">
        <f t="shared" ref="T9" si="2">MOD((S9-R9),1)</f>
        <v>0</v>
      </c>
      <c r="U9" s="29"/>
      <c r="V9" s="27">
        <f t="shared" ref="V9:V15" si="3">SUM(P9+T9)</f>
        <v>0</v>
      </c>
      <c r="W9" s="25">
        <f>V9*24</f>
        <v>0</v>
      </c>
      <c r="X9" s="132">
        <f>SUM(W9)</f>
        <v>0</v>
      </c>
      <c r="Y9" s="25">
        <f t="shared" ref="Y9:Y15" si="4">SUM(K9+P9+Q9+T9+AC9)*24</f>
        <v>0</v>
      </c>
      <c r="Z9" s="117"/>
      <c r="AA9" s="27">
        <v>0</v>
      </c>
      <c r="AB9" s="27">
        <v>0</v>
      </c>
      <c r="AC9" s="27">
        <f>MOD((AB9-AA9),1)</f>
        <v>0</v>
      </c>
      <c r="AD9" s="137">
        <f>SUM(AC9)*24</f>
        <v>0</v>
      </c>
      <c r="AE9" s="135"/>
      <c r="AF9" s="83" cm="1">
        <f t="array" ref="AF9">IF(C9="Normal/Straight",L9+X9+AD9,0)+IF(C9="Broken Shift",L9+X9+AD9,0)+IF(C9="Relief Yard Supervisor",L9+X9+AD9,0)+IF(C9="ADOC",L9+X9+AD9,0)+IF(C9="Senior Bus/Yard Ops",L9+AH11Z9+AD9,0)</f>
        <v>0</v>
      </c>
      <c r="AG9" s="25">
        <v>0</v>
      </c>
      <c r="AH9" s="25" t="s">
        <v>25</v>
      </c>
      <c r="AI9" s="25">
        <v>0</v>
      </c>
      <c r="AJ9" s="25">
        <f>SUM(AF9)</f>
        <v>0</v>
      </c>
      <c r="AK9" s="19"/>
      <c r="AL9" s="28">
        <f>'Penalty Rate Calculator'!K10</f>
        <v>0</v>
      </c>
      <c r="AM9" s="25">
        <f>'Penalty Rate Calculator'!U10</f>
        <v>0</v>
      </c>
      <c r="AN9" s="83">
        <v>0</v>
      </c>
      <c r="AO9" s="25">
        <f>SUM(AN9)</f>
        <v>0</v>
      </c>
      <c r="AP9" s="25">
        <v>0</v>
      </c>
      <c r="AQ9" s="25">
        <v>0</v>
      </c>
      <c r="AR9" s="19"/>
      <c r="AS9" s="25">
        <f>IF(C9="Public Holiday+Work",L9+X9+AD9,0)</f>
        <v>0</v>
      </c>
      <c r="AT9" s="25">
        <f>IF($C9="Public Holiday+Work",#REF!,0)</f>
        <v>0</v>
      </c>
      <c r="AU9" s="25">
        <f>IF(C9="Public Holiday",#REF!,0)</f>
        <v>0</v>
      </c>
      <c r="AV9" s="19"/>
      <c r="AW9" s="25">
        <v>0</v>
      </c>
      <c r="AX9" s="25">
        <v>0</v>
      </c>
      <c r="AY9" s="25">
        <v>0</v>
      </c>
      <c r="AZ9" s="109">
        <v>0</v>
      </c>
      <c r="BA9" s="25">
        <v>0</v>
      </c>
      <c r="BB9" s="25">
        <v>0</v>
      </c>
      <c r="BC9" s="25">
        <v>0</v>
      </c>
      <c r="BD9" s="19"/>
      <c r="BE9" s="2"/>
    </row>
    <row r="10" spans="1:57" ht="30" customHeight="1" x14ac:dyDescent="0.3">
      <c r="A10" s="26">
        <v>44823</v>
      </c>
      <c r="B10" s="127" t="s">
        <v>1</v>
      </c>
      <c r="C10" s="7" t="s">
        <v>26</v>
      </c>
      <c r="D10" s="7" t="s">
        <v>56</v>
      </c>
      <c r="E10" s="7" t="s">
        <v>77</v>
      </c>
      <c r="F10" s="7" t="s">
        <v>15</v>
      </c>
      <c r="G10" s="7" t="s">
        <v>139</v>
      </c>
      <c r="H10" s="4"/>
      <c r="I10" s="9">
        <v>0</v>
      </c>
      <c r="J10" s="9">
        <v>0</v>
      </c>
      <c r="K10" s="9">
        <f>MOD((J10-I10),1)</f>
        <v>0</v>
      </c>
      <c r="L10" s="144">
        <f>SUM(K10)*24</f>
        <v>0</v>
      </c>
      <c r="M10" s="135"/>
      <c r="N10" s="8">
        <v>0.10416666666666667</v>
      </c>
      <c r="O10" s="8">
        <v>0.27083333333333331</v>
      </c>
      <c r="P10" s="8">
        <f t="shared" si="0"/>
        <v>0.16666666666666663</v>
      </c>
      <c r="Q10" s="29">
        <f t="shared" si="1"/>
        <v>4.1666666666666685E-2</v>
      </c>
      <c r="R10" s="9">
        <v>0.3125</v>
      </c>
      <c r="S10" s="9">
        <v>0.47916666666666669</v>
      </c>
      <c r="T10" s="9">
        <f>MOD((S10-R10),1)</f>
        <v>0.16666666666666669</v>
      </c>
      <c r="U10" s="29"/>
      <c r="V10" s="86">
        <f t="shared" si="3"/>
        <v>0.33333333333333331</v>
      </c>
      <c r="W10" s="124">
        <f t="shared" ref="W10:W15" si="5">V10*24</f>
        <v>8</v>
      </c>
      <c r="X10" s="133">
        <f t="shared" ref="X10:X15" si="6">SUM(W10)</f>
        <v>8</v>
      </c>
      <c r="Y10" s="124">
        <f t="shared" si="4"/>
        <v>9</v>
      </c>
      <c r="Z10" s="117"/>
      <c r="AA10" s="9">
        <v>0</v>
      </c>
      <c r="AB10" s="9">
        <v>0</v>
      </c>
      <c r="AC10" s="9">
        <f>MOD((AB10-AA10),1)</f>
        <v>0</v>
      </c>
      <c r="AD10" s="138">
        <f>SUM(AC10)*24</f>
        <v>0</v>
      </c>
      <c r="AE10" s="135"/>
      <c r="AF10" s="84" cm="1">
        <f t="array" ref="AF10">IF(C10="Normal/Straight",L10+X10+AD10,0)+IF(C10="Broken Shift",L10+X10+AD10,0)+IF(C10="Relief Yard Supervisor",L10+X10+AD10,0)+IF(C10="ADOC",L10+X10+AD10,0)+IF(C10="Senior Bus/Yard Ops",L10+AH11Z9+AD10,0)</f>
        <v>8</v>
      </c>
      <c r="AG10" s="44" t="e">
        <f>IF($AF10&gt;#REF!,#REF!,AF10)</f>
        <v>#REF!</v>
      </c>
      <c r="AH10" s="19">
        <v>0</v>
      </c>
      <c r="AI10" s="44" t="e">
        <f>IF($AF10&gt;#REF!,IF($AF10&lt;=11,$AF10-#REF!,MIN($AF10-#REF!,3)),0)</f>
        <v>#REF!</v>
      </c>
      <c r="AJ10" s="44" t="e">
        <f>$AF10-($AG10+$AI10)</f>
        <v>#REF!</v>
      </c>
      <c r="AK10" s="19"/>
      <c r="AL10" s="152">
        <f>IF($C10="Normal/Straight",'Penalty Rate Calculator'!$H11,0)+IF(C10="Senior Bus/Yard Ops",'Penalty Rate Calculator'!H11,0)</f>
        <v>0</v>
      </c>
      <c r="AM10" s="45">
        <f>IF($C10="Normal/Straight",'Penalty Rate Calculator'!$R11,0)+IF(C10="Senior Bus/Yard Ops",'Penalty Rate Calculator'!R11,0)</f>
        <v>0</v>
      </c>
      <c r="AN10" s="108">
        <f t="shared" ref="AN10:AN15" si="7">IF($C10="Broken Shift",$Y10+$L10,0)</f>
        <v>9</v>
      </c>
      <c r="AO10" s="45">
        <f>IF($AN10&gt;8.25,8.25,AN10)</f>
        <v>8.25</v>
      </c>
      <c r="AP10" s="45">
        <f t="shared" ref="AP10:AP15" si="8">MAX(MIN(AN10,10.5)-9.5,0)</f>
        <v>0</v>
      </c>
      <c r="AQ10" s="45">
        <f t="shared" ref="AQ10:AQ15" si="9">MAX(AN10-10.5,0)</f>
        <v>0</v>
      </c>
      <c r="AR10" s="19"/>
      <c r="AS10" s="45">
        <f t="shared" ref="AS10:AS15" si="10">IF(D10="Public Holiday+Work",L10+X10+AD10,0)</f>
        <v>0</v>
      </c>
      <c r="AT10" s="45">
        <f>IF($D10="Public Holiday+Work",#REF!,0)</f>
        <v>0</v>
      </c>
      <c r="AU10" s="45">
        <f>IF(D10="Public Holiday",#REF!,0)</f>
        <v>0</v>
      </c>
      <c r="AV10" s="19"/>
      <c r="AW10" s="44">
        <f t="shared" ref="AW10:AW15" si="11">IF($D10="RDOC",L10+X10+AD10,0)</f>
        <v>0</v>
      </c>
      <c r="AX10" s="44">
        <f>IF($D10="RDOC",#REF!,0)</f>
        <v>0</v>
      </c>
      <c r="AY10" s="44">
        <f>AW10-AX10</f>
        <v>0</v>
      </c>
      <c r="AZ10" s="110">
        <f>IF(C10="ADO",#REF!,0)</f>
        <v>0</v>
      </c>
      <c r="BA10" s="45" t="e">
        <f>IF($D10="ADOC",#REF!,0)</f>
        <v>#REF!</v>
      </c>
      <c r="BB10" s="45" t="e">
        <f>IF($D10="ADOC",#REF!,0)</f>
        <v>#REF!</v>
      </c>
      <c r="BC10" s="45" t="e">
        <f t="shared" ref="BC10:BC15" si="12">IF($D10="ADOC",X10+AD10)-BB10</f>
        <v>#REF!</v>
      </c>
      <c r="BD10" s="19"/>
      <c r="BE10" s="2"/>
    </row>
    <row r="11" spans="1:57" ht="30" customHeight="1" x14ac:dyDescent="0.3">
      <c r="A11" s="26">
        <v>44824</v>
      </c>
      <c r="B11" s="128" t="s">
        <v>2</v>
      </c>
      <c r="C11" s="3" t="s">
        <v>26</v>
      </c>
      <c r="D11" s="5" t="s">
        <v>15</v>
      </c>
      <c r="E11" s="3" t="s">
        <v>77</v>
      </c>
      <c r="F11" s="3" t="s">
        <v>15</v>
      </c>
      <c r="G11" s="3" t="s">
        <v>140</v>
      </c>
      <c r="H11" s="7"/>
      <c r="I11" s="5">
        <v>0</v>
      </c>
      <c r="J11" s="5">
        <v>0</v>
      </c>
      <c r="K11" s="5">
        <f t="shared" ref="K11:K15" si="13">MOD((J11-I11),1)</f>
        <v>0</v>
      </c>
      <c r="L11" s="134">
        <f>SUM(K11)*24</f>
        <v>0</v>
      </c>
      <c r="M11" s="135"/>
      <c r="N11" s="5">
        <v>0.14583333333333334</v>
      </c>
      <c r="O11" s="5">
        <v>0.3125</v>
      </c>
      <c r="P11" s="5">
        <f t="shared" ref="P11:P15" si="14">MOD((O11-N11),1)</f>
        <v>0.16666666666666666</v>
      </c>
      <c r="Q11" s="29">
        <f t="shared" si="1"/>
        <v>4.1666666666666685E-2</v>
      </c>
      <c r="R11" s="5">
        <v>0.35416666666666669</v>
      </c>
      <c r="S11" s="5">
        <v>0.52083333333333337</v>
      </c>
      <c r="T11" s="5">
        <f t="shared" ref="T11:T15" si="15">MOD((S11-R11),1)</f>
        <v>0.16666666666666669</v>
      </c>
      <c r="U11" s="29"/>
      <c r="V11" s="5">
        <f t="shared" si="3"/>
        <v>0.33333333333333337</v>
      </c>
      <c r="W11" s="23">
        <f t="shared" si="5"/>
        <v>8</v>
      </c>
      <c r="X11" s="134">
        <f t="shared" si="6"/>
        <v>8</v>
      </c>
      <c r="Y11" s="18">
        <f t="shared" si="4"/>
        <v>9</v>
      </c>
      <c r="Z11" s="117"/>
      <c r="AA11" s="5">
        <v>0</v>
      </c>
      <c r="AB11" s="5">
        <v>0</v>
      </c>
      <c r="AC11" s="5">
        <f t="shared" ref="AC11:AC15" si="16">MOD((AB11-AA11),1)</f>
        <v>0</v>
      </c>
      <c r="AD11" s="139">
        <f>SUM(AC11)*24</f>
        <v>0</v>
      </c>
      <c r="AE11" s="135"/>
      <c r="AF11" s="85" cm="1">
        <f t="array" ref="AF11">IF(C11="Normal/Straight",L11+X11+AD11,0)+IF(C11="Broken Shift",L11+X11+AD11,0)+IF(C11="Relief Yard Supervisor",L11+X11+AD11,0)+IF(C11="ADOC",L11+X11+AD11,0)+IF(C11="Senior Bus/Yard Ops",L11+AH11Z9+AD11,0)</f>
        <v>8</v>
      </c>
      <c r="AG11" s="18" t="e">
        <f>IF($AF11&gt;#REF!,#REF!,AF11)</f>
        <v>#REF!</v>
      </c>
      <c r="AH11" s="18">
        <v>0</v>
      </c>
      <c r="AI11" s="18" t="e">
        <f>IF($AF11&gt;#REF!,IF($AF11&lt;=11,$AF11-#REF!,MIN($AF11-#REF!,3)),0)</f>
        <v>#REF!</v>
      </c>
      <c r="AJ11" s="18" t="e">
        <f t="shared" ref="AJ11:AJ14" si="17">$AF11-($AG11+$AI11)</f>
        <v>#REF!</v>
      </c>
      <c r="AK11" s="19"/>
      <c r="AL11" s="18">
        <f>IF($C11="Normal/Straight",'Penalty Rate Calculator'!$H12,0)+IF(C11="Senior Bus/Yard Ops",'Penalty Rate Calculator'!H12,0)</f>
        <v>0</v>
      </c>
      <c r="AM11" s="18">
        <f>IF($C11="Normal/Straight",'Penalty Rate Calculator'!$R12,0)+IF(C11="Senior Bus/Yard Ops",'Penalty Rate Calculator'!R12,0)</f>
        <v>0</v>
      </c>
      <c r="AN11" s="85">
        <f t="shared" si="7"/>
        <v>9</v>
      </c>
      <c r="AO11" s="18">
        <f t="shared" ref="AO11:AO15" si="18">IF($AN11&gt;8.25,8.25,AN11)</f>
        <v>8.25</v>
      </c>
      <c r="AP11" s="18">
        <f t="shared" si="8"/>
        <v>0</v>
      </c>
      <c r="AQ11" s="18">
        <f t="shared" si="9"/>
        <v>0</v>
      </c>
      <c r="AR11" s="19"/>
      <c r="AS11" s="18">
        <f t="shared" si="10"/>
        <v>0</v>
      </c>
      <c r="AT11" s="18">
        <f>IF($D11="Public Holiday+Work",#REF!,0)</f>
        <v>0</v>
      </c>
      <c r="AU11" s="18">
        <f>IF(D11="Public Holiday",#REF!,0)</f>
        <v>0</v>
      </c>
      <c r="AV11" s="19"/>
      <c r="AW11" s="18">
        <f t="shared" si="11"/>
        <v>0</v>
      </c>
      <c r="AX11" s="18">
        <f>IF($D11="RDOC",#REF!,0)</f>
        <v>0</v>
      </c>
      <c r="AY11" s="18">
        <f t="shared" ref="AY11:AY14" si="19">AW11-AX11</f>
        <v>0</v>
      </c>
      <c r="AZ11" s="111">
        <f>IF(C11="ADO",#REF!,0)</f>
        <v>0</v>
      </c>
      <c r="BA11" s="18">
        <f>IF($D11="ADOC",#REF!,0)</f>
        <v>0</v>
      </c>
      <c r="BB11" s="18">
        <f>IF($D11="ADOC",#REF!,0)</f>
        <v>0</v>
      </c>
      <c r="BC11" s="18">
        <f t="shared" si="12"/>
        <v>0</v>
      </c>
      <c r="BD11" s="19"/>
      <c r="BE11" s="2"/>
    </row>
    <row r="12" spans="1:57" ht="30" customHeight="1" x14ac:dyDescent="0.3">
      <c r="A12" s="26">
        <v>44825</v>
      </c>
      <c r="B12" s="127" t="s">
        <v>3</v>
      </c>
      <c r="C12" s="7" t="s">
        <v>26</v>
      </c>
      <c r="D12" s="7" t="s">
        <v>15</v>
      </c>
      <c r="E12" s="7" t="s">
        <v>77</v>
      </c>
      <c r="F12" s="7" t="s">
        <v>15</v>
      </c>
      <c r="G12" s="7" t="s">
        <v>141</v>
      </c>
      <c r="H12" s="7"/>
      <c r="I12" s="9">
        <v>0</v>
      </c>
      <c r="J12" s="9">
        <v>0</v>
      </c>
      <c r="K12" s="9">
        <f>MOD((J12-I12),1)</f>
        <v>0</v>
      </c>
      <c r="L12" s="144">
        <f>SUM(K12)*24</f>
        <v>0</v>
      </c>
      <c r="M12" s="135"/>
      <c r="N12" s="8">
        <v>0.1875</v>
      </c>
      <c r="O12" s="8">
        <v>0.35416666666666669</v>
      </c>
      <c r="P12" s="8">
        <f t="shared" ref="P12" si="20">MOD((O12-N12),1)</f>
        <v>0.16666666666666669</v>
      </c>
      <c r="Q12" s="29">
        <f t="shared" ref="Q12" si="21">SUM(R12-O12)</f>
        <v>4.166666666666663E-2</v>
      </c>
      <c r="R12" s="9">
        <v>0.39583333333333331</v>
      </c>
      <c r="S12" s="9">
        <v>0.5625</v>
      </c>
      <c r="T12" s="9">
        <f t="shared" ref="T12" si="22">MOD((S12-R12),1)</f>
        <v>0.16666666666666669</v>
      </c>
      <c r="U12" s="29"/>
      <c r="V12" s="86">
        <f t="shared" si="3"/>
        <v>0.33333333333333337</v>
      </c>
      <c r="W12" s="120">
        <f t="shared" si="5"/>
        <v>8</v>
      </c>
      <c r="X12" s="133">
        <f t="shared" si="6"/>
        <v>8</v>
      </c>
      <c r="Y12" s="124">
        <f t="shared" si="4"/>
        <v>9</v>
      </c>
      <c r="Z12" s="117"/>
      <c r="AA12" s="9">
        <v>0</v>
      </c>
      <c r="AB12" s="9">
        <v>0</v>
      </c>
      <c r="AC12" s="9">
        <f t="shared" si="16"/>
        <v>0</v>
      </c>
      <c r="AD12" s="138">
        <f t="shared" ref="AD12:AD15" si="23">SUM(AC12)*24</f>
        <v>0</v>
      </c>
      <c r="AE12" s="135"/>
      <c r="AF12" s="84" cm="1">
        <f t="array" ref="AF12">IF(C12="Normal/Straight",L12+X12+AD12,0)+IF(C12="Broken Shift",L12+X12+AD12,0)+IF(C12="Relief Yard Supervisor",L12+X12+AD12,0)+IF(C12="ADOC",L12+X12+AD12,0)+IF(C12="Senior Bus/Yard Ops",L12+AH11Z9+AD12,0)</f>
        <v>8</v>
      </c>
      <c r="AG12" s="44" t="e">
        <f>IF($AF12&gt;#REF!,#REF!,AF12)</f>
        <v>#REF!</v>
      </c>
      <c r="AH12" s="44">
        <v>0</v>
      </c>
      <c r="AI12" s="44" t="e">
        <f>IF($AF12&gt;#REF!,IF($AF12&lt;=11,$AF12-#REF!,MIN($AF12-#REF!,3)),0)</f>
        <v>#REF!</v>
      </c>
      <c r="AJ12" s="44" t="e">
        <f t="shared" si="17"/>
        <v>#REF!</v>
      </c>
      <c r="AK12" s="19"/>
      <c r="AL12" s="45">
        <f>IF($C12="Normal/Straight",'Penalty Rate Calculator'!$H13,0)+IF(C12="Senior Bus/Yard Ops",'Penalty Rate Calculator'!H13,0)</f>
        <v>0</v>
      </c>
      <c r="AM12" s="45">
        <f>IF($C12="Normal/Straight",'Penalty Rate Calculator'!$R13,0)+IF(C12="Senior Bus/Yard Ops",'Penalty Rate Calculator'!R13,0)</f>
        <v>0</v>
      </c>
      <c r="AN12" s="108">
        <f t="shared" si="7"/>
        <v>9</v>
      </c>
      <c r="AO12" s="45">
        <f t="shared" si="18"/>
        <v>8.25</v>
      </c>
      <c r="AP12" s="45">
        <f t="shared" si="8"/>
        <v>0</v>
      </c>
      <c r="AQ12" s="45">
        <f t="shared" si="9"/>
        <v>0</v>
      </c>
      <c r="AR12" s="19"/>
      <c r="AS12" s="45">
        <f t="shared" si="10"/>
        <v>0</v>
      </c>
      <c r="AT12" s="45">
        <f>IF($D12="Public Holiday+Work",#REF!,0)</f>
        <v>0</v>
      </c>
      <c r="AU12" s="45">
        <f>IF(D12="Public Holiday",#REF!,0)</f>
        <v>0</v>
      </c>
      <c r="AV12" s="19"/>
      <c r="AW12" s="44">
        <f t="shared" si="11"/>
        <v>0</v>
      </c>
      <c r="AX12" s="44">
        <f>IF($D12="RDOC",#REF!,0)</f>
        <v>0</v>
      </c>
      <c r="AY12" s="44">
        <f t="shared" si="19"/>
        <v>0</v>
      </c>
      <c r="AZ12" s="110">
        <f>IF(C12="ADO",#REF!,0)</f>
        <v>0</v>
      </c>
      <c r="BA12" s="45">
        <f>IF($D12="ADOC",#REF!,0)</f>
        <v>0</v>
      </c>
      <c r="BB12" s="45">
        <f>IF($D12="ADOC",#REF!,0)</f>
        <v>0</v>
      </c>
      <c r="BC12" s="45">
        <f t="shared" si="12"/>
        <v>0</v>
      </c>
      <c r="BD12" s="19"/>
      <c r="BE12" s="2"/>
    </row>
    <row r="13" spans="1:57" ht="30" customHeight="1" x14ac:dyDescent="0.3">
      <c r="A13" s="26">
        <v>44826</v>
      </c>
      <c r="B13" s="128" t="s">
        <v>4</v>
      </c>
      <c r="C13" s="18" t="s">
        <v>99</v>
      </c>
      <c r="D13" s="3" t="s">
        <v>15</v>
      </c>
      <c r="E13" s="3" t="s">
        <v>15</v>
      </c>
      <c r="F13" s="3" t="s">
        <v>15</v>
      </c>
      <c r="G13" s="3" t="s">
        <v>142</v>
      </c>
      <c r="H13" s="7"/>
      <c r="I13" s="5">
        <v>0</v>
      </c>
      <c r="J13" s="5">
        <v>0</v>
      </c>
      <c r="K13" s="5">
        <f t="shared" si="13"/>
        <v>0</v>
      </c>
      <c r="L13" s="134">
        <f t="shared" ref="L13:L15" si="24">SUM(K13)*24</f>
        <v>0</v>
      </c>
      <c r="M13" s="135"/>
      <c r="N13" s="5">
        <v>0.22916666666666666</v>
      </c>
      <c r="O13" s="5">
        <v>0.39583333333333331</v>
      </c>
      <c r="P13" s="5">
        <f t="shared" si="14"/>
        <v>0.16666666666666666</v>
      </c>
      <c r="Q13" s="29">
        <f t="shared" si="1"/>
        <v>4.1666666666666685E-2</v>
      </c>
      <c r="R13" s="5">
        <v>0.4375</v>
      </c>
      <c r="S13" s="5">
        <v>0.60416666666666663</v>
      </c>
      <c r="T13" s="5">
        <f t="shared" si="15"/>
        <v>0.16666666666666663</v>
      </c>
      <c r="U13" s="29"/>
      <c r="V13" s="5">
        <f t="shared" si="3"/>
        <v>0.33333333333333326</v>
      </c>
      <c r="W13" s="23">
        <f t="shared" si="5"/>
        <v>7.9999999999999982</v>
      </c>
      <c r="X13" s="134">
        <f t="shared" si="6"/>
        <v>7.9999999999999982</v>
      </c>
      <c r="Y13" s="18">
        <f t="shared" si="4"/>
        <v>9</v>
      </c>
      <c r="Z13" s="117"/>
      <c r="AA13" s="5">
        <v>0</v>
      </c>
      <c r="AB13" s="5">
        <v>0</v>
      </c>
      <c r="AC13" s="5">
        <f t="shared" si="16"/>
        <v>0</v>
      </c>
      <c r="AD13" s="139">
        <f t="shared" si="23"/>
        <v>0</v>
      </c>
      <c r="AE13" s="135"/>
      <c r="AF13" s="85" cm="1">
        <f t="array" ref="AF13">IF(C13="Normal/Straight",L13+X13+AD13,0)+IF(C13="Broken Shift",L13+X13+AD13,0)+IF(C13="Relief Yard Supervisor",L13+X13+AD13,0)+IF(C13="ADOC",L13+X13+AD13,0)+IF(C13="Senior Bus/Yard Ops",L13+AH11Z9+AD13,0)</f>
        <v>7.9999999999999982</v>
      </c>
      <c r="AG13" s="18" t="e">
        <f>IF($AF13&gt;#REF!,#REF!,AF13)</f>
        <v>#REF!</v>
      </c>
      <c r="AH13" s="18">
        <v>0</v>
      </c>
      <c r="AI13" s="18" t="e">
        <f>IF($AF13&gt;#REF!,IF($AF13&lt;=11,$AF13-#REF!,MIN($AF13-#REF!,3)),0)</f>
        <v>#REF!</v>
      </c>
      <c r="AJ13" s="18" t="e">
        <f t="shared" si="17"/>
        <v>#REF!</v>
      </c>
      <c r="AK13" s="19"/>
      <c r="AL13" s="18">
        <f>IF($C13="Normal/Straight",'Penalty Rate Calculator'!$H14,0)+IF(C13="Senior Bus/Yard Ops",'Penalty Rate Calculator'!H14,0)</f>
        <v>1.5</v>
      </c>
      <c r="AM13" s="18">
        <f>IF($C13="Normal/Straight",'Penalty Rate Calculator'!$R14,0)+IF(C13="Senior Bus/Yard Ops",'Penalty Rate Calculator'!R14,0)</f>
        <v>0</v>
      </c>
      <c r="AN13" s="85">
        <f t="shared" si="7"/>
        <v>0</v>
      </c>
      <c r="AO13" s="18">
        <f t="shared" si="18"/>
        <v>0</v>
      </c>
      <c r="AP13" s="18">
        <f t="shared" si="8"/>
        <v>0</v>
      </c>
      <c r="AQ13" s="18">
        <f t="shared" si="9"/>
        <v>0</v>
      </c>
      <c r="AR13" s="19"/>
      <c r="AS13" s="18">
        <f t="shared" si="10"/>
        <v>0</v>
      </c>
      <c r="AT13" s="18">
        <f>IF($D13="Public Holiday+Work",#REF!,0)</f>
        <v>0</v>
      </c>
      <c r="AU13" s="18">
        <f>IF(D13="Public Holiday",#REF!,0)</f>
        <v>0</v>
      </c>
      <c r="AV13" s="19"/>
      <c r="AW13" s="18">
        <f t="shared" si="11"/>
        <v>0</v>
      </c>
      <c r="AX13" s="18">
        <f>IF($D13="RDOC",#REF!,0)</f>
        <v>0</v>
      </c>
      <c r="AY13" s="18">
        <f t="shared" si="19"/>
        <v>0</v>
      </c>
      <c r="AZ13" s="111">
        <f>IF(C13="ADO",#REF!,0)</f>
        <v>0</v>
      </c>
      <c r="BA13" s="18">
        <f>IF($D13="ADOC",#REF!,0)</f>
        <v>0</v>
      </c>
      <c r="BB13" s="18">
        <f>IF($D13="ADOC",#REF!,0)</f>
        <v>0</v>
      </c>
      <c r="BC13" s="18">
        <f t="shared" si="12"/>
        <v>0</v>
      </c>
      <c r="BD13" s="19"/>
      <c r="BE13" s="2"/>
    </row>
    <row r="14" spans="1:57" ht="30" customHeight="1" x14ac:dyDescent="0.3">
      <c r="A14" s="26">
        <v>44827</v>
      </c>
      <c r="B14" s="127" t="s">
        <v>5</v>
      </c>
      <c r="C14" s="7" t="s">
        <v>26</v>
      </c>
      <c r="D14" s="7" t="s">
        <v>15</v>
      </c>
      <c r="E14" s="7" t="s">
        <v>77</v>
      </c>
      <c r="F14" s="7" t="s">
        <v>15</v>
      </c>
      <c r="G14" s="159" t="s">
        <v>143</v>
      </c>
      <c r="H14" s="7"/>
      <c r="I14" s="9">
        <v>0</v>
      </c>
      <c r="J14" s="9">
        <v>0</v>
      </c>
      <c r="K14" s="9">
        <f t="shared" si="13"/>
        <v>0</v>
      </c>
      <c r="L14" s="144">
        <f t="shared" si="24"/>
        <v>0</v>
      </c>
      <c r="M14" s="135"/>
      <c r="N14" s="8">
        <v>0.27083333333333331</v>
      </c>
      <c r="O14" s="8">
        <v>0.39583333333333331</v>
      </c>
      <c r="P14" s="8">
        <f t="shared" si="14"/>
        <v>0.125</v>
      </c>
      <c r="Q14" s="29">
        <f t="shared" si="1"/>
        <v>4.1666666666666685E-2</v>
      </c>
      <c r="R14" s="9">
        <v>0.4375</v>
      </c>
      <c r="S14" s="9">
        <v>0.60416666666666663</v>
      </c>
      <c r="T14" s="9">
        <f t="shared" si="15"/>
        <v>0.16666666666666663</v>
      </c>
      <c r="U14" s="29"/>
      <c r="V14" s="86">
        <f t="shared" si="3"/>
        <v>0.29166666666666663</v>
      </c>
      <c r="W14" s="120">
        <f t="shared" si="5"/>
        <v>6.9999999999999991</v>
      </c>
      <c r="X14" s="133">
        <f t="shared" si="6"/>
        <v>6.9999999999999991</v>
      </c>
      <c r="Y14" s="124">
        <f t="shared" si="4"/>
        <v>8</v>
      </c>
      <c r="Z14" s="117"/>
      <c r="AA14" s="9">
        <v>0</v>
      </c>
      <c r="AB14" s="9">
        <v>0</v>
      </c>
      <c r="AC14" s="9">
        <f t="shared" si="16"/>
        <v>0</v>
      </c>
      <c r="AD14" s="138">
        <f t="shared" si="23"/>
        <v>0</v>
      </c>
      <c r="AE14" s="135"/>
      <c r="AF14" s="84" cm="1">
        <f t="array" ref="AF14">IF(C14="Normal/Straight",L14+X14+AD14,0)+IF(C14="Broken Shift",L14+X14+AD14,0)+IF(C14="Relief Yard Supervisor",L14+X14+AD14,0)+IF(C14="ADOC",L14+X14+AD14,0)+IF(C14="Senior Bus/Yard Ops",L14+AH11Z9+AD14,0)</f>
        <v>6.9999999999999991</v>
      </c>
      <c r="AG14" s="44" t="e">
        <f>IF($AF14&gt;#REF!,#REF!,AF14)</f>
        <v>#REF!</v>
      </c>
      <c r="AH14" s="44">
        <v>0</v>
      </c>
      <c r="AI14" s="44" t="e">
        <f>IF($AF14&gt;#REF!,IF($AF14&lt;=11,$AF14-#REF!,MIN($AF14-#REF!,3)),0)</f>
        <v>#REF!</v>
      </c>
      <c r="AJ14" s="44" t="e">
        <f t="shared" si="17"/>
        <v>#REF!</v>
      </c>
      <c r="AK14" s="19"/>
      <c r="AL14" s="45">
        <f>IF($C14="Normal/Straight",'Penalty Rate Calculator'!$H15,0)+IF(C14="Senior Bus/Yard Ops",'Penalty Rate Calculator'!H15,0)</f>
        <v>0</v>
      </c>
      <c r="AM14" s="45">
        <f>IF($C14="Normal/Straight",'Penalty Rate Calculator'!$R15,0)+IF(C14="Senior Bus/Yard Ops",'Penalty Rate Calculator'!R15,0)</f>
        <v>0</v>
      </c>
      <c r="AN14" s="108">
        <f t="shared" si="7"/>
        <v>8</v>
      </c>
      <c r="AO14" s="45">
        <f t="shared" si="18"/>
        <v>8</v>
      </c>
      <c r="AP14" s="45">
        <f t="shared" si="8"/>
        <v>0</v>
      </c>
      <c r="AQ14" s="45">
        <f t="shared" si="9"/>
        <v>0</v>
      </c>
      <c r="AR14" s="19"/>
      <c r="AS14" s="45">
        <f t="shared" si="10"/>
        <v>0</v>
      </c>
      <c r="AT14" s="45">
        <f>IF($D14="Public Holiday+Work",#REF!,0)</f>
        <v>0</v>
      </c>
      <c r="AU14" s="45">
        <f>IF(D14="Public Holiday",#REF!,0)</f>
        <v>0</v>
      </c>
      <c r="AV14" s="19"/>
      <c r="AW14" s="44">
        <f t="shared" si="11"/>
        <v>0</v>
      </c>
      <c r="AX14" s="44">
        <f>IF($D14="RDOC",#REF!,0)</f>
        <v>0</v>
      </c>
      <c r="AY14" s="44">
        <f t="shared" si="19"/>
        <v>0</v>
      </c>
      <c r="AZ14" s="110">
        <f>IF(C14="ADO",#REF!,0)</f>
        <v>0</v>
      </c>
      <c r="BA14" s="45">
        <f>IF($D14="ADOC",#REF!,0)</f>
        <v>0</v>
      </c>
      <c r="BB14" s="45">
        <f>IF($D14="ADOC",#REF!,0)</f>
        <v>0</v>
      </c>
      <c r="BC14" s="45">
        <f t="shared" si="12"/>
        <v>0</v>
      </c>
      <c r="BD14" s="19"/>
      <c r="BE14" s="2"/>
    </row>
    <row r="15" spans="1:57" ht="30" customHeight="1" x14ac:dyDescent="0.3">
      <c r="A15" s="26">
        <v>44828</v>
      </c>
      <c r="B15" s="128" t="s">
        <v>6</v>
      </c>
      <c r="C15" s="3" t="s">
        <v>107</v>
      </c>
      <c r="D15" s="3" t="s">
        <v>15</v>
      </c>
      <c r="E15" s="3" t="s">
        <v>15</v>
      </c>
      <c r="F15" s="3" t="s">
        <v>113</v>
      </c>
      <c r="G15" s="3" t="s">
        <v>126</v>
      </c>
      <c r="H15" s="4"/>
      <c r="I15" s="5">
        <v>0</v>
      </c>
      <c r="J15" s="5">
        <v>0</v>
      </c>
      <c r="K15" s="5">
        <f t="shared" si="13"/>
        <v>0</v>
      </c>
      <c r="L15" s="134">
        <f t="shared" si="24"/>
        <v>0</v>
      </c>
      <c r="M15" s="135"/>
      <c r="N15" s="5">
        <v>0.3125</v>
      </c>
      <c r="O15" s="5">
        <v>0.39583333333333331</v>
      </c>
      <c r="P15" s="5">
        <f t="shared" si="14"/>
        <v>8.3333333333333315E-2</v>
      </c>
      <c r="Q15" s="29">
        <f t="shared" si="1"/>
        <v>4.1666666666666685E-2</v>
      </c>
      <c r="R15" s="5">
        <v>0.4375</v>
      </c>
      <c r="S15" s="5">
        <v>0.60416666666666663</v>
      </c>
      <c r="T15" s="5">
        <f t="shared" si="15"/>
        <v>0.16666666666666663</v>
      </c>
      <c r="U15" s="29"/>
      <c r="V15" s="5">
        <f t="shared" si="3"/>
        <v>0.24999999999999994</v>
      </c>
      <c r="W15" s="23">
        <f t="shared" si="5"/>
        <v>5.9999999999999982</v>
      </c>
      <c r="X15" s="134">
        <f t="shared" si="6"/>
        <v>5.9999999999999982</v>
      </c>
      <c r="Y15" s="18">
        <f t="shared" si="4"/>
        <v>6.9999999999999991</v>
      </c>
      <c r="Z15" s="117"/>
      <c r="AA15" s="5">
        <v>0</v>
      </c>
      <c r="AB15" s="5">
        <v>0</v>
      </c>
      <c r="AC15" s="5">
        <f t="shared" si="16"/>
        <v>0</v>
      </c>
      <c r="AD15" s="139">
        <f t="shared" si="23"/>
        <v>0</v>
      </c>
      <c r="AE15" s="135"/>
      <c r="AF15" s="85" cm="1">
        <f t="array" ref="AF15">IF(C15="Normal/Straight",L15+X15+AD15,0)+IF(C15="Broken Shift",L15+X15+AD15,0)+IF(C15="Relief Yard Supervisor",L15+X15+AD15,0)+IF(C15="ADOC",L15+X15+AD15,0)+IF(C15="Senior Bus/Yard Ops",L15+AH11Z9+AD15,0)</f>
        <v>0</v>
      </c>
      <c r="AG15" s="18" t="e">
        <f>IF($AF15&gt;#REF!,#REF!,AF15)</f>
        <v>#REF!</v>
      </c>
      <c r="AH15" s="18">
        <v>0</v>
      </c>
      <c r="AI15" s="18" t="e">
        <f>IF($AF15&gt;#REF!,IF($AF15&lt;=11,$AF15-#REF!,MIN($AF15-#REF!,3)),0)</f>
        <v>#REF!</v>
      </c>
      <c r="AJ15" s="18">
        <v>0</v>
      </c>
      <c r="AK15" s="19"/>
      <c r="AL15" s="18">
        <f>IF($C15="Normal/Straight",'Penalty Rate Calculator'!$H16,0)+IF(C15="Senior Bus/Yard Ops",'Penalty Rate Calculator'!H16,0)</f>
        <v>0</v>
      </c>
      <c r="AM15" s="18">
        <f>IF($C15="Normal/Straight",'Penalty Rate Calculator'!$R16,0)+IF(C15="Senior Bus/Yard Ops",'Penalty Rate Calculator'!R16,0)</f>
        <v>0</v>
      </c>
      <c r="AN15" s="85">
        <f t="shared" si="7"/>
        <v>0</v>
      </c>
      <c r="AO15" s="18">
        <f t="shared" si="18"/>
        <v>0</v>
      </c>
      <c r="AP15" s="18">
        <f t="shared" si="8"/>
        <v>0</v>
      </c>
      <c r="AQ15" s="18">
        <f t="shared" si="9"/>
        <v>0</v>
      </c>
      <c r="AR15" s="19"/>
      <c r="AS15" s="18">
        <f t="shared" si="10"/>
        <v>0</v>
      </c>
      <c r="AT15" s="18">
        <f>IF($D15="Public Holiday+Work",#REF!,0)</f>
        <v>0</v>
      </c>
      <c r="AU15" s="18">
        <f>IF(D15="Public Holiday",#REF!,0)</f>
        <v>0</v>
      </c>
      <c r="AV15" s="19"/>
      <c r="AW15" s="18">
        <f t="shared" si="11"/>
        <v>0</v>
      </c>
      <c r="AX15" s="18">
        <v>0</v>
      </c>
      <c r="AY15" s="18">
        <f>IF($C15="RDOC",AW15,0)</f>
        <v>0</v>
      </c>
      <c r="AZ15" s="111">
        <f>IF(C15="ADO",#REF!,0)</f>
        <v>0</v>
      </c>
      <c r="BA15" s="18">
        <f>IF($D15="ADOC",#REF!,0)</f>
        <v>0</v>
      </c>
      <c r="BB15" s="18">
        <f>IF($D15="ADOC",#REF!,0)</f>
        <v>0</v>
      </c>
      <c r="BC15" s="18">
        <f t="shared" si="12"/>
        <v>0</v>
      </c>
      <c r="BD15" s="19"/>
      <c r="BE15" s="2"/>
    </row>
    <row r="16" spans="1:57" ht="20.100000000000001" customHeight="1" x14ac:dyDescent="0.3">
      <c r="A16" s="96"/>
      <c r="B16" s="91"/>
      <c r="C16" s="91" t="s">
        <v>106</v>
      </c>
      <c r="D16" s="91"/>
      <c r="E16" s="91"/>
      <c r="F16" s="91"/>
      <c r="G16" s="96" t="s">
        <v>16</v>
      </c>
      <c r="H16" s="4"/>
      <c r="I16" s="99"/>
      <c r="J16" s="99"/>
      <c r="K16" s="99">
        <f>SUM(K9:K15)</f>
        <v>0</v>
      </c>
      <c r="L16" s="145">
        <f>SUM(L9:L15)</f>
        <v>0</v>
      </c>
      <c r="M16" s="148"/>
      <c r="N16" s="97"/>
      <c r="O16" s="97"/>
      <c r="P16" s="98">
        <f>SUM(P9:P15)*24</f>
        <v>21</v>
      </c>
      <c r="Q16" s="99"/>
      <c r="R16" s="99"/>
      <c r="S16" s="99"/>
      <c r="T16" s="98">
        <f>SUM(T9:T15)*24</f>
        <v>23.999999999999996</v>
      </c>
      <c r="U16" s="76"/>
      <c r="V16" s="121">
        <f>SUM(V9:V15)</f>
        <v>1.875</v>
      </c>
      <c r="W16" s="98">
        <f>SUM(W9:W15)</f>
        <v>45</v>
      </c>
      <c r="X16" s="98">
        <f>SUM(X9:X15)</f>
        <v>45</v>
      </c>
      <c r="Y16" s="98"/>
      <c r="Z16" s="76"/>
      <c r="AA16" s="99"/>
      <c r="AB16" s="99"/>
      <c r="AC16" s="99">
        <f>SUM(AC9:AC15)</f>
        <v>0</v>
      </c>
      <c r="AD16" s="140">
        <f>SUM(AD9:AD15)</f>
        <v>0</v>
      </c>
      <c r="AE16" s="76"/>
      <c r="AF16" s="100">
        <f>SUM(AF9:AF15)</f>
        <v>39</v>
      </c>
      <c r="AG16" s="98" t="e">
        <f>SUM(AG9:AG15)</f>
        <v>#REF!</v>
      </c>
      <c r="AH16" s="101"/>
      <c r="AI16" s="98" t="e">
        <f t="shared" ref="AI16:BC16" si="25">SUM(AI9:AI15)</f>
        <v>#REF!</v>
      </c>
      <c r="AJ16" s="98" t="e">
        <f t="shared" si="25"/>
        <v>#REF!</v>
      </c>
      <c r="AK16" s="76"/>
      <c r="AL16" s="98">
        <f t="shared" si="25"/>
        <v>1.5</v>
      </c>
      <c r="AM16" s="98">
        <f t="shared" si="25"/>
        <v>0</v>
      </c>
      <c r="AN16" s="100">
        <f t="shared" si="25"/>
        <v>35</v>
      </c>
      <c r="AO16" s="98"/>
      <c r="AP16" s="98">
        <f t="shared" si="25"/>
        <v>0</v>
      </c>
      <c r="AQ16" s="98">
        <f t="shared" si="25"/>
        <v>0</v>
      </c>
      <c r="AR16" s="76"/>
      <c r="AS16" s="98">
        <f t="shared" si="25"/>
        <v>0</v>
      </c>
      <c r="AT16" s="98">
        <f t="shared" si="25"/>
        <v>0</v>
      </c>
      <c r="AU16" s="98">
        <f t="shared" si="25"/>
        <v>0</v>
      </c>
      <c r="AV16" s="76"/>
      <c r="AW16" s="98">
        <f t="shared" si="25"/>
        <v>0</v>
      </c>
      <c r="AX16" s="98">
        <f t="shared" si="25"/>
        <v>0</v>
      </c>
      <c r="AY16" s="98">
        <f t="shared" si="25"/>
        <v>0</v>
      </c>
      <c r="AZ16" s="112">
        <f t="shared" si="25"/>
        <v>0</v>
      </c>
      <c r="BA16" s="98" t="e">
        <f t="shared" si="25"/>
        <v>#REF!</v>
      </c>
      <c r="BB16" s="98" t="e">
        <f t="shared" si="25"/>
        <v>#REF!</v>
      </c>
      <c r="BC16" s="98" t="e">
        <f t="shared" si="25"/>
        <v>#REF!</v>
      </c>
      <c r="BD16" s="76"/>
      <c r="BE16" s="2"/>
    </row>
    <row r="17" spans="1:57" ht="5.0999999999999996" customHeight="1" thickBot="1" x14ac:dyDescent="0.35">
      <c r="A17" s="30"/>
      <c r="B17" s="31"/>
      <c r="C17" s="31"/>
      <c r="D17" s="31"/>
      <c r="E17" s="31"/>
      <c r="F17" s="31"/>
      <c r="G17" s="31"/>
      <c r="H17" s="31"/>
      <c r="I17" s="32"/>
      <c r="J17" s="32"/>
      <c r="K17" s="30"/>
      <c r="L17" s="30"/>
      <c r="M17" s="73"/>
      <c r="N17" s="32"/>
      <c r="O17" s="32"/>
      <c r="P17" s="32"/>
      <c r="Q17" s="32"/>
      <c r="R17" s="32"/>
      <c r="S17" s="32"/>
      <c r="T17" s="30"/>
      <c r="U17" s="73"/>
      <c r="V17" s="30"/>
      <c r="W17" s="30"/>
      <c r="X17" s="30"/>
      <c r="Y17" s="30"/>
      <c r="Z17" s="118"/>
      <c r="AA17" s="32"/>
      <c r="AB17" s="32"/>
      <c r="AC17" s="30"/>
      <c r="AD17" s="30"/>
      <c r="AE17" s="30"/>
      <c r="AF17" s="33"/>
      <c r="AG17" s="31"/>
      <c r="AH17" s="31"/>
      <c r="AI17" s="31"/>
      <c r="AJ17" s="31"/>
      <c r="AK17" s="77"/>
      <c r="AL17" s="31"/>
      <c r="AM17" s="31"/>
      <c r="AN17" s="77"/>
      <c r="AO17" s="77"/>
      <c r="AP17" s="77"/>
      <c r="AQ17" s="77"/>
      <c r="AR17" s="77"/>
      <c r="AS17" s="31"/>
      <c r="AT17" s="31"/>
      <c r="AU17" s="31"/>
      <c r="AV17" s="77"/>
      <c r="AW17" s="31"/>
      <c r="AX17" s="31"/>
      <c r="AY17" s="31"/>
      <c r="AZ17" s="31"/>
      <c r="BA17" s="31"/>
      <c r="BB17" s="31"/>
      <c r="BC17" s="31"/>
      <c r="BD17" s="77"/>
      <c r="BE17" s="2"/>
    </row>
    <row r="18" spans="1:57" ht="5.0999999999999996" customHeight="1" thickTop="1" x14ac:dyDescent="0.3">
      <c r="A18" s="16"/>
      <c r="B18" s="4"/>
      <c r="C18" s="4"/>
      <c r="D18" s="4"/>
      <c r="E18" s="4"/>
      <c r="F18" s="4"/>
      <c r="G18" s="4"/>
      <c r="H18" s="4"/>
      <c r="I18" s="6"/>
      <c r="J18" s="6"/>
      <c r="K18" s="16"/>
      <c r="L18" s="16"/>
      <c r="M18" s="41"/>
      <c r="N18" s="6"/>
      <c r="O18" s="6"/>
      <c r="P18" s="6"/>
      <c r="Q18" s="6"/>
      <c r="R18" s="6"/>
      <c r="S18" s="6"/>
      <c r="T18" s="16"/>
      <c r="U18" s="41"/>
      <c r="V18" s="16"/>
      <c r="W18" s="16"/>
      <c r="X18" s="16"/>
      <c r="Y18" s="16"/>
      <c r="Z18" s="119"/>
      <c r="AA18" s="6"/>
      <c r="AB18" s="6"/>
      <c r="AC18" s="16"/>
      <c r="AD18" s="16"/>
      <c r="AE18" s="16"/>
      <c r="AF18" s="20"/>
      <c r="AG18" s="4"/>
      <c r="AH18" s="4"/>
      <c r="AI18" s="4"/>
      <c r="AJ18" s="4"/>
      <c r="AK18" s="7"/>
      <c r="AL18" s="4"/>
      <c r="AM18" s="4"/>
      <c r="AN18" s="7"/>
      <c r="AO18" s="7"/>
      <c r="AP18" s="7"/>
      <c r="AQ18" s="7"/>
      <c r="AR18" s="7"/>
      <c r="AS18" s="4"/>
      <c r="AT18" s="4"/>
      <c r="AU18" s="4"/>
      <c r="AV18" s="7"/>
      <c r="AW18" s="4"/>
      <c r="AX18" s="4"/>
      <c r="AY18" s="4"/>
      <c r="AZ18" s="4"/>
      <c r="BA18" s="4"/>
      <c r="BB18" s="4"/>
      <c r="BC18" s="4"/>
      <c r="BD18" s="7"/>
      <c r="BE18" s="2"/>
    </row>
    <row r="19" spans="1:57" ht="20.100000000000001" customHeight="1" x14ac:dyDescent="0.3">
      <c r="A19" s="16" t="s">
        <v>20</v>
      </c>
      <c r="B19" s="4"/>
      <c r="C19" s="4"/>
      <c r="D19" s="4"/>
      <c r="E19" s="4"/>
      <c r="F19" s="4"/>
      <c r="G19" s="4"/>
      <c r="H19" s="4"/>
      <c r="I19" s="6"/>
      <c r="J19" s="6"/>
      <c r="K19" s="16"/>
      <c r="L19" s="16"/>
      <c r="M19" s="41"/>
      <c r="N19" s="6"/>
      <c r="O19" s="6"/>
      <c r="P19" s="6"/>
      <c r="Q19" s="6"/>
      <c r="R19" s="6"/>
      <c r="S19" s="6"/>
      <c r="T19" s="16"/>
      <c r="U19" s="41"/>
      <c r="V19" s="16"/>
      <c r="W19" s="16"/>
      <c r="X19" s="16"/>
      <c r="Y19" s="16"/>
      <c r="Z19" s="119"/>
      <c r="AA19" s="6"/>
      <c r="AB19" s="6"/>
      <c r="AC19" s="16"/>
      <c r="AD19" s="16"/>
      <c r="AE19" s="16"/>
      <c r="AF19" s="20"/>
      <c r="AG19" s="4"/>
      <c r="AH19" s="4"/>
      <c r="AI19" s="4"/>
      <c r="AJ19" s="4"/>
      <c r="AK19" s="7"/>
      <c r="AL19" s="4"/>
      <c r="AM19" s="4"/>
      <c r="AN19" s="7"/>
      <c r="AO19" s="7"/>
      <c r="AP19" s="7"/>
      <c r="AQ19" s="7"/>
      <c r="AR19" s="7"/>
      <c r="AS19" s="4"/>
      <c r="AT19" s="4"/>
      <c r="AU19" s="4"/>
      <c r="AV19" s="7"/>
      <c r="AW19" s="4"/>
      <c r="AX19" s="4"/>
      <c r="AY19" s="4"/>
      <c r="AZ19" s="4"/>
      <c r="BA19" s="4"/>
      <c r="BB19" s="4"/>
      <c r="BC19" s="4"/>
      <c r="BD19" s="7"/>
      <c r="BE19" s="2"/>
    </row>
    <row r="20" spans="1:57" ht="5.0999999999999996" customHeight="1" x14ac:dyDescent="0.3">
      <c r="A20" s="16"/>
      <c r="B20" s="4"/>
      <c r="C20" s="4"/>
      <c r="D20" s="4"/>
      <c r="E20" s="4"/>
      <c r="F20" s="4"/>
      <c r="G20" s="4"/>
      <c r="H20" s="4"/>
      <c r="I20" s="6"/>
      <c r="J20" s="6"/>
      <c r="K20" s="6"/>
      <c r="L20" s="6"/>
      <c r="M20" s="29"/>
      <c r="N20" s="6"/>
      <c r="O20" s="6"/>
      <c r="P20" s="6"/>
      <c r="Q20" s="6"/>
      <c r="R20" s="6"/>
      <c r="S20" s="6"/>
      <c r="T20" s="6"/>
      <c r="U20" s="29"/>
      <c r="V20" s="6"/>
      <c r="W20" s="6"/>
      <c r="X20" s="6"/>
      <c r="Y20" s="6"/>
      <c r="Z20" s="119"/>
      <c r="AA20" s="6"/>
      <c r="AB20" s="6"/>
      <c r="AC20" s="6"/>
      <c r="AD20" s="6"/>
      <c r="AE20" s="6"/>
      <c r="AF20" s="20"/>
      <c r="AG20" s="4"/>
      <c r="AH20" s="4"/>
      <c r="AI20" s="4"/>
      <c r="AJ20" s="4"/>
      <c r="AK20" s="7"/>
      <c r="AL20" s="4"/>
      <c r="AM20" s="4"/>
      <c r="AN20" s="7"/>
      <c r="AO20" s="7"/>
      <c r="AP20" s="7"/>
      <c r="AQ20" s="7"/>
      <c r="AR20" s="7"/>
      <c r="AS20" s="4"/>
      <c r="AT20" s="4"/>
      <c r="AU20" s="4"/>
      <c r="AV20" s="7"/>
      <c r="AW20" s="4"/>
      <c r="AX20" s="4"/>
      <c r="AY20" s="4"/>
      <c r="AZ20" s="4"/>
      <c r="BA20" s="4"/>
      <c r="BB20" s="4"/>
      <c r="BC20" s="4"/>
      <c r="BD20" s="7"/>
      <c r="BE20" s="2"/>
    </row>
    <row r="21" spans="1:57" ht="30" customHeight="1" x14ac:dyDescent="0.3">
      <c r="A21" s="26">
        <v>44829</v>
      </c>
      <c r="B21" s="15" t="s">
        <v>0</v>
      </c>
      <c r="C21" s="15" t="s">
        <v>107</v>
      </c>
      <c r="D21" s="15" t="s">
        <v>15</v>
      </c>
      <c r="E21" s="15" t="s">
        <v>15</v>
      </c>
      <c r="F21" s="15" t="s">
        <v>113</v>
      </c>
      <c r="G21" s="15" t="s">
        <v>127</v>
      </c>
      <c r="H21" s="4"/>
      <c r="I21" s="27">
        <v>0</v>
      </c>
      <c r="J21" s="27">
        <v>0</v>
      </c>
      <c r="K21" s="27">
        <f t="shared" ref="K21:K27" si="26">MOD((J21-I21),1)</f>
        <v>0</v>
      </c>
      <c r="L21" s="132">
        <f t="shared" ref="L21:L27" si="27">SUM(K21)*24</f>
        <v>0</v>
      </c>
      <c r="M21" s="135"/>
      <c r="N21" s="27">
        <v>0</v>
      </c>
      <c r="O21" s="27">
        <v>0</v>
      </c>
      <c r="P21" s="27">
        <f t="shared" ref="P21:P26" si="28">MOD((O21-N21),1)</f>
        <v>0</v>
      </c>
      <c r="Q21" s="29">
        <f t="shared" ref="Q21:Q27" si="29">SUM(R21-O21)</f>
        <v>0</v>
      </c>
      <c r="R21" s="27">
        <v>0</v>
      </c>
      <c r="S21" s="27">
        <v>0</v>
      </c>
      <c r="T21" s="27">
        <f>MOD((S21-R21),1)</f>
        <v>0</v>
      </c>
      <c r="U21" s="29"/>
      <c r="V21" s="27">
        <f t="shared" ref="V21:V27" si="30">SUM(P21+T21)</f>
        <v>0</v>
      </c>
      <c r="W21" s="28">
        <f t="shared" ref="W21:W27" si="31">V21*24</f>
        <v>0</v>
      </c>
      <c r="X21" s="132">
        <f t="shared" ref="X21:X27" si="32">SUM(W21)</f>
        <v>0</v>
      </c>
      <c r="Y21" s="28">
        <f t="shared" ref="Y21:Y27" si="33">SUM(K21+P21+Q21+T21+AC21)*24</f>
        <v>0</v>
      </c>
      <c r="Z21" s="117"/>
      <c r="AA21" s="27">
        <v>0</v>
      </c>
      <c r="AB21" s="27">
        <v>0</v>
      </c>
      <c r="AC21" s="27">
        <f t="shared" ref="AC21:AC27" si="34">MOD((AB21-AA21),1)</f>
        <v>0</v>
      </c>
      <c r="AD21" s="137">
        <f t="shared" ref="AD21:AD27" si="35">SUM(AC21)*24</f>
        <v>0</v>
      </c>
      <c r="AE21" s="135"/>
      <c r="AF21" s="83" cm="1">
        <f t="array" ref="AF21">IF(C21="Normal/Straight",L21+X21+AD21,0)+IF(C21="Broken Shift",L21+X21+AD21,0)+IF(C21="Relief Yard Supervisor",L21+X21+AD21,0)+IF(C21="ADOC",L21+X21+AD21,0)+IF(C21="Senior Bus/Yard Ops",L21+AH11Z9+AD21,0)</f>
        <v>0</v>
      </c>
      <c r="AG21" s="25">
        <v>0</v>
      </c>
      <c r="AH21" s="25" t="s">
        <v>25</v>
      </c>
      <c r="AI21" s="25">
        <v>0</v>
      </c>
      <c r="AJ21" s="25">
        <f>SUM(AF21)</f>
        <v>0</v>
      </c>
      <c r="AK21" s="19"/>
      <c r="AL21" s="25">
        <f>'Penalty Rate Calculator'!K22</f>
        <v>0</v>
      </c>
      <c r="AM21" s="25">
        <f>'Penalty Rate Calculator'!U22</f>
        <v>0</v>
      </c>
      <c r="AN21" s="83">
        <v>0</v>
      </c>
      <c r="AO21" s="25">
        <f>SUM(AN21)</f>
        <v>0</v>
      </c>
      <c r="AP21" s="25">
        <v>0</v>
      </c>
      <c r="AQ21" s="25">
        <v>0</v>
      </c>
      <c r="AR21" s="19"/>
      <c r="AS21" s="25">
        <f>IF(C21="Public Holiday+Work",L21+X21+AD21,0)</f>
        <v>0</v>
      </c>
      <c r="AT21" s="25">
        <f>IF($C21="Public Holiday+Work",#REF!,0)</f>
        <v>0</v>
      </c>
      <c r="AU21" s="25">
        <f>IF(C21="Public Holiday",#REF!,0)</f>
        <v>0</v>
      </c>
      <c r="AV21" s="19"/>
      <c r="AW21" s="25">
        <v>0</v>
      </c>
      <c r="AX21" s="25">
        <v>0</v>
      </c>
      <c r="AY21" s="25">
        <v>0</v>
      </c>
      <c r="AZ21" s="109">
        <v>0</v>
      </c>
      <c r="BA21" s="25">
        <v>0</v>
      </c>
      <c r="BB21" s="25">
        <v>0</v>
      </c>
      <c r="BC21" s="25">
        <v>0</v>
      </c>
      <c r="BD21" s="19"/>
      <c r="BE21" s="2"/>
    </row>
    <row r="22" spans="1:57" ht="30" customHeight="1" x14ac:dyDescent="0.3">
      <c r="A22" s="26">
        <v>44830</v>
      </c>
      <c r="B22" s="7" t="s">
        <v>1</v>
      </c>
      <c r="C22" s="7" t="s">
        <v>26</v>
      </c>
      <c r="D22" s="7" t="s">
        <v>15</v>
      </c>
      <c r="E22" s="7" t="s">
        <v>77</v>
      </c>
      <c r="F22" s="7" t="s">
        <v>15</v>
      </c>
      <c r="G22" s="7" t="s">
        <v>140</v>
      </c>
      <c r="H22" s="4"/>
      <c r="I22" s="9">
        <v>0</v>
      </c>
      <c r="J22" s="9">
        <v>0</v>
      </c>
      <c r="K22" s="9">
        <f t="shared" si="26"/>
        <v>0</v>
      </c>
      <c r="L22" s="144">
        <f t="shared" si="27"/>
        <v>0</v>
      </c>
      <c r="M22" s="135"/>
      <c r="N22" s="27">
        <v>0.6875</v>
      </c>
      <c r="O22" s="27">
        <v>0.85416666666666663</v>
      </c>
      <c r="P22" s="8">
        <f t="shared" si="28"/>
        <v>0.16666666666666663</v>
      </c>
      <c r="Q22" s="29">
        <f t="shared" si="29"/>
        <v>4.1666666666666741E-2</v>
      </c>
      <c r="R22" s="27">
        <v>0.89583333333333337</v>
      </c>
      <c r="S22" s="27">
        <v>0.29097222222222224</v>
      </c>
      <c r="T22" s="9">
        <f>MOD((S22-R22),1)</f>
        <v>0.39513888888888893</v>
      </c>
      <c r="U22" s="29"/>
      <c r="V22" s="86">
        <f t="shared" si="30"/>
        <v>0.56180555555555556</v>
      </c>
      <c r="W22" s="120">
        <f t="shared" si="31"/>
        <v>13.483333333333334</v>
      </c>
      <c r="X22" s="133">
        <f t="shared" si="32"/>
        <v>13.483333333333334</v>
      </c>
      <c r="Y22" s="124">
        <f t="shared" si="33"/>
        <v>14.483333333333334</v>
      </c>
      <c r="Z22" s="117"/>
      <c r="AA22" s="9">
        <v>0</v>
      </c>
      <c r="AB22" s="9">
        <v>0</v>
      </c>
      <c r="AC22" s="9">
        <f t="shared" si="34"/>
        <v>0</v>
      </c>
      <c r="AD22" s="138">
        <f t="shared" si="35"/>
        <v>0</v>
      </c>
      <c r="AE22" s="135"/>
      <c r="AF22" s="84" cm="1">
        <f t="array" ref="AF22">IF(C22="Normal/Straight",L22+X22+AD22,0)+IF(C22="Broken Shift",L22+X22+AD22,0)+IF(C22="Relief Yard Supervisor",L22+X22+AD22,0)+IF(C22="ADOC",L22+X22+AD22,0)+IF(C22="Senior Bus/Yard Ops",L22+AH11Z9+AD22,0)</f>
        <v>13.483333333333334</v>
      </c>
      <c r="AG22" s="44" t="e">
        <f>IF($AF22&gt;#REF!,#REF!,AF22)</f>
        <v>#REF!</v>
      </c>
      <c r="AH22" s="19">
        <v>0</v>
      </c>
      <c r="AI22" s="44" t="e">
        <f>IF($AF22&gt;#REF!,IF($AF22&lt;=11,$AF22-#REF!,MIN($AF22-#REF!,3)),0)</f>
        <v>#REF!</v>
      </c>
      <c r="AJ22" s="44" t="e">
        <f t="shared" ref="AJ22:AJ26" si="36">$AF22-($AG22+$AI22)</f>
        <v>#REF!</v>
      </c>
      <c r="AK22" s="19"/>
      <c r="AL22" s="45">
        <f>IF($C22="Normal/Straight",'Penalty Rate Calculator'!$H23,0)+IF(C22="Senior Bus/Yard Ops",'Penalty Rate Calculator'!H23,0)</f>
        <v>0</v>
      </c>
      <c r="AM22" s="45">
        <f>IF($C22="Normal/Straight",'Penalty Rate Calculator'!$R23,0)+IF(C22="Senior Bus/Yard Ops",'Penalty Rate Calculator'!R23,0)</f>
        <v>0</v>
      </c>
      <c r="AN22" s="108">
        <f t="shared" ref="AN22:AN27" si="37">IF($C22="Broken Shift",$Y22+$L22,0)</f>
        <v>14.483333333333334</v>
      </c>
      <c r="AO22" s="45">
        <f t="shared" ref="AO22:AO27" si="38">IF($AN22&gt;8.25,8.25,AN22)</f>
        <v>8.25</v>
      </c>
      <c r="AP22" s="45">
        <f t="shared" ref="AP22:AP27" si="39">MAX(MIN(AN22,10.5)-9.5,0)</f>
        <v>1</v>
      </c>
      <c r="AQ22" s="45">
        <f t="shared" ref="AQ22:AQ27" si="40">MAX(AN22-10.5,0)</f>
        <v>3.9833333333333343</v>
      </c>
      <c r="AR22" s="19"/>
      <c r="AS22" s="45">
        <f t="shared" ref="AS22:AS27" si="41">IF(D22="Public Holiday+Work",L22+X22+AD22,0)</f>
        <v>0</v>
      </c>
      <c r="AT22" s="45">
        <f>IF($D22="Public Holiday+Work",#REF!,0)</f>
        <v>0</v>
      </c>
      <c r="AU22" s="45">
        <f>IF(D22="Public Holiday",#REF!,0)</f>
        <v>0</v>
      </c>
      <c r="AV22" s="19"/>
      <c r="AW22" s="44">
        <f t="shared" ref="AW22:AW27" si="42">IF($D22="RDOC",L22+X22+AD22,0)</f>
        <v>0</v>
      </c>
      <c r="AX22" s="44">
        <f>IF($D22="RDOC",#REF!,0)</f>
        <v>0</v>
      </c>
      <c r="AY22" s="44">
        <f t="shared" ref="AY22:AY26" si="43">AW22-AX22</f>
        <v>0</v>
      </c>
      <c r="AZ22" s="110">
        <f>IF(C22="ADO",#REF!,0)</f>
        <v>0</v>
      </c>
      <c r="BA22" s="45">
        <f>IF($D22="ADOC",#REF!,0)</f>
        <v>0</v>
      </c>
      <c r="BB22" s="45">
        <f>IF($D22="ADOC",#REF!,0)</f>
        <v>0</v>
      </c>
      <c r="BC22" s="45">
        <f t="shared" ref="BC22:BC27" si="44">IF($D22="ADOC",X22+AD22)-BB22</f>
        <v>0</v>
      </c>
      <c r="BD22" s="19"/>
      <c r="BE22" s="2"/>
    </row>
    <row r="23" spans="1:57" ht="30" customHeight="1" x14ac:dyDescent="0.3">
      <c r="A23" s="26">
        <v>44831</v>
      </c>
      <c r="B23" s="3" t="s">
        <v>2</v>
      </c>
      <c r="C23" s="3" t="s">
        <v>26</v>
      </c>
      <c r="D23" s="3" t="s">
        <v>15</v>
      </c>
      <c r="E23" s="3" t="s">
        <v>77</v>
      </c>
      <c r="F23" s="3" t="s">
        <v>15</v>
      </c>
      <c r="G23" s="3" t="s">
        <v>144</v>
      </c>
      <c r="H23" s="4"/>
      <c r="I23" s="5">
        <v>0</v>
      </c>
      <c r="J23" s="5">
        <v>0</v>
      </c>
      <c r="K23" s="5">
        <f t="shared" si="26"/>
        <v>0</v>
      </c>
      <c r="L23" s="134">
        <f t="shared" si="27"/>
        <v>0</v>
      </c>
      <c r="M23" s="135"/>
      <c r="N23" s="27">
        <v>0.67708333333333337</v>
      </c>
      <c r="O23" s="27">
        <v>0.84375</v>
      </c>
      <c r="P23" s="5">
        <f t="shared" ref="P23" si="45">MOD((O23-N23),1)</f>
        <v>0.16666666666666663</v>
      </c>
      <c r="Q23" s="29">
        <f t="shared" si="29"/>
        <v>3.125E-2</v>
      </c>
      <c r="R23" s="27">
        <v>0.875</v>
      </c>
      <c r="S23" s="27">
        <v>4.1666666666666664E-2</v>
      </c>
      <c r="T23" s="5">
        <f>MOD((S23-R23),1)</f>
        <v>0.16666666666666663</v>
      </c>
      <c r="U23" s="29"/>
      <c r="V23" s="5">
        <f t="shared" si="30"/>
        <v>0.33333333333333326</v>
      </c>
      <c r="W23" s="23">
        <f t="shared" si="31"/>
        <v>7.9999999999999982</v>
      </c>
      <c r="X23" s="134">
        <f t="shared" si="32"/>
        <v>7.9999999999999982</v>
      </c>
      <c r="Y23" s="18">
        <f t="shared" si="33"/>
        <v>8.7499999999999982</v>
      </c>
      <c r="Z23" s="117"/>
      <c r="AA23" s="5">
        <v>0</v>
      </c>
      <c r="AB23" s="5">
        <v>0</v>
      </c>
      <c r="AC23" s="5">
        <f t="shared" si="34"/>
        <v>0</v>
      </c>
      <c r="AD23" s="139">
        <f t="shared" si="35"/>
        <v>0</v>
      </c>
      <c r="AE23" s="135"/>
      <c r="AF23" s="85" cm="1">
        <f t="array" ref="AF23">IF(C23="Normal/Straight",L23+X23+AD23,0)+IF(C23="Broken Shift",L23+X23+AD23,0)+IF(C23="Relief Yard Supervisor",L23+X23+AD23,0)+IF(C23="ADOC",L23+X23+AD23,0)+IF(C23="Senior Bus/Yard Ops",L23+AH11Z9+AD23,0)</f>
        <v>7.9999999999999982</v>
      </c>
      <c r="AG23" s="18" t="e">
        <f>IF($AF23&gt;#REF!,#REF!,AF23)</f>
        <v>#REF!</v>
      </c>
      <c r="AH23" s="18">
        <v>0</v>
      </c>
      <c r="AI23" s="18" t="e">
        <f>IF($AF23&gt;#REF!,IF($AF23&lt;=11,$AF23-#REF!,MIN($AF23-#REF!,3)),0)</f>
        <v>#REF!</v>
      </c>
      <c r="AJ23" s="18" t="e">
        <f t="shared" si="36"/>
        <v>#REF!</v>
      </c>
      <c r="AK23" s="19"/>
      <c r="AL23" s="162">
        <f>IF($C23="Normal/Straight",'Penalty Rate Calculator'!$H24,0)+IF(C23="Senior Bus/Yard Ops",'Penalty Rate Calculator'!H24,0)</f>
        <v>0</v>
      </c>
      <c r="AM23" s="162">
        <f>IF($C23="Normal/Straight",'Penalty Rate Calculator'!$R24,0)+IF(C23="Senior Bus/Yard Ops",'Penalty Rate Calculator'!R24,0)</f>
        <v>0</v>
      </c>
      <c r="AN23" s="85">
        <f t="shared" si="37"/>
        <v>8.7499999999999982</v>
      </c>
      <c r="AO23" s="18">
        <f t="shared" si="38"/>
        <v>8.25</v>
      </c>
      <c r="AP23" s="18">
        <f t="shared" si="39"/>
        <v>0</v>
      </c>
      <c r="AQ23" s="18">
        <f t="shared" si="40"/>
        <v>0</v>
      </c>
      <c r="AR23" s="19"/>
      <c r="AS23" s="18">
        <f t="shared" si="41"/>
        <v>0</v>
      </c>
      <c r="AT23" s="18">
        <f>IF($D23="Public Holiday+Work",#REF!,0)</f>
        <v>0</v>
      </c>
      <c r="AU23" s="18">
        <f>IF(D23="Public Holiday",#REF!,0)</f>
        <v>0</v>
      </c>
      <c r="AV23" s="19"/>
      <c r="AW23" s="18">
        <f t="shared" si="42"/>
        <v>0</v>
      </c>
      <c r="AX23" s="18">
        <f>IF($D23="RDOC",#REF!,0)</f>
        <v>0</v>
      </c>
      <c r="AY23" s="18">
        <f t="shared" si="43"/>
        <v>0</v>
      </c>
      <c r="AZ23" s="111">
        <f>IF(C23="ADO",#REF!,0)</f>
        <v>0</v>
      </c>
      <c r="BA23" s="18">
        <f>IF($D23="ADOC",#REF!,0)</f>
        <v>0</v>
      </c>
      <c r="BB23" s="18">
        <f>IF($D23="ADOC",#REF!,0)</f>
        <v>0</v>
      </c>
      <c r="BC23" s="18">
        <f t="shared" si="44"/>
        <v>0</v>
      </c>
      <c r="BD23" s="19"/>
      <c r="BE23" s="2"/>
    </row>
    <row r="24" spans="1:57" ht="30" customHeight="1" x14ac:dyDescent="0.3">
      <c r="A24" s="26">
        <v>44832</v>
      </c>
      <c r="B24" s="164" t="s">
        <v>3</v>
      </c>
      <c r="C24" s="7" t="s">
        <v>107</v>
      </c>
      <c r="D24" s="7" t="s">
        <v>15</v>
      </c>
      <c r="E24" s="7" t="s">
        <v>15</v>
      </c>
      <c r="F24" s="7" t="s">
        <v>113</v>
      </c>
      <c r="G24" s="164"/>
      <c r="H24" s="4"/>
      <c r="I24" s="9">
        <v>0</v>
      </c>
      <c r="J24" s="9">
        <v>0</v>
      </c>
      <c r="K24" s="9">
        <f t="shared" si="26"/>
        <v>0</v>
      </c>
      <c r="L24" s="144">
        <f t="shared" si="27"/>
        <v>0</v>
      </c>
      <c r="M24" s="135"/>
      <c r="N24" s="27">
        <v>0</v>
      </c>
      <c r="O24" s="27">
        <v>0</v>
      </c>
      <c r="P24" s="8">
        <f t="shared" si="28"/>
        <v>0</v>
      </c>
      <c r="Q24" s="29">
        <f t="shared" si="29"/>
        <v>0</v>
      </c>
      <c r="R24" s="27">
        <v>0</v>
      </c>
      <c r="S24" s="27">
        <v>0</v>
      </c>
      <c r="T24" s="9">
        <f t="shared" ref="T24:T26" si="46">MOD((S24-R24),1)</f>
        <v>0</v>
      </c>
      <c r="U24" s="29"/>
      <c r="V24" s="86">
        <f t="shared" si="30"/>
        <v>0</v>
      </c>
      <c r="W24" s="120">
        <f t="shared" si="31"/>
        <v>0</v>
      </c>
      <c r="X24" s="133">
        <f t="shared" si="32"/>
        <v>0</v>
      </c>
      <c r="Y24" s="124">
        <f t="shared" si="33"/>
        <v>0</v>
      </c>
      <c r="Z24" s="117"/>
      <c r="AA24" s="9">
        <v>0</v>
      </c>
      <c r="AB24" s="9">
        <v>0</v>
      </c>
      <c r="AC24" s="9">
        <f>MOD((AB24-AA24),1)</f>
        <v>0</v>
      </c>
      <c r="AD24" s="138">
        <f t="shared" si="35"/>
        <v>0</v>
      </c>
      <c r="AE24" s="135"/>
      <c r="AF24" s="84" cm="1">
        <f t="array" ref="AF24">IF(C24="Normal/Straight",L24+X24+AD24,0)+IF(C24="Broken Shift",L24+X24+AD24,0)+IF(C24="Relief Yard Supervisor",L24+X24+AD24,0)+IF(C24="ADOC",L24+X24+AD24,0)+IF(C24="Senior Bus/Yard Ops",L24+AH11Z9+AD24,0)</f>
        <v>0</v>
      </c>
      <c r="AG24" s="44" t="e">
        <f>IF($AF24&gt;#REF!,#REF!,AF24)</f>
        <v>#REF!</v>
      </c>
      <c r="AH24" s="19">
        <v>0</v>
      </c>
      <c r="AI24" s="44" t="e">
        <f>IF($AF24&gt;#REF!,IF($AF24&lt;=11,$AF24-#REF!,MIN($AF24-#REF!,3)),0)</f>
        <v>#REF!</v>
      </c>
      <c r="AJ24" s="44" t="e">
        <f t="shared" si="36"/>
        <v>#REF!</v>
      </c>
      <c r="AK24" s="19"/>
      <c r="AL24" s="45">
        <f>IF($C24="Normal/Straight",'Penalty Rate Calculator'!$H25,0)+IF(C24="Senior Bus/Yard Ops",'Penalty Rate Calculator'!H25,0)</f>
        <v>0</v>
      </c>
      <c r="AM24" s="45">
        <f>IF($C24="Normal/Straight",'Penalty Rate Calculator'!$R25,0)+IF(C24="Senior Bus/Yard Ops",'Penalty Rate Calculator'!R25,0)</f>
        <v>0</v>
      </c>
      <c r="AN24" s="108">
        <f t="shared" si="37"/>
        <v>0</v>
      </c>
      <c r="AO24" s="45">
        <f t="shared" si="38"/>
        <v>0</v>
      </c>
      <c r="AP24" s="45">
        <f t="shared" si="39"/>
        <v>0</v>
      </c>
      <c r="AQ24" s="45">
        <f t="shared" si="40"/>
        <v>0</v>
      </c>
      <c r="AR24" s="19"/>
      <c r="AS24" s="45">
        <f t="shared" si="41"/>
        <v>0</v>
      </c>
      <c r="AT24" s="45">
        <f>IF($D24="Public Holiday+Work",#REF!,0)</f>
        <v>0</v>
      </c>
      <c r="AU24" s="45">
        <f>IF(D24="Public Holiday",#REF!,0)</f>
        <v>0</v>
      </c>
      <c r="AV24" s="19"/>
      <c r="AW24" s="44">
        <f t="shared" si="42"/>
        <v>0</v>
      </c>
      <c r="AX24" s="44">
        <f>IF($D24="RDOC",#REF!,0)</f>
        <v>0</v>
      </c>
      <c r="AY24" s="44">
        <f t="shared" si="43"/>
        <v>0</v>
      </c>
      <c r="AZ24" s="110">
        <f>IF(C24="ADO",#REF!,0)</f>
        <v>0</v>
      </c>
      <c r="BA24" s="45">
        <f>IF($D24="ADOC",#REF!,0)</f>
        <v>0</v>
      </c>
      <c r="BB24" s="45">
        <f>IF($D24="ADOC",#REF!,0)</f>
        <v>0</v>
      </c>
      <c r="BC24" s="45">
        <f t="shared" si="44"/>
        <v>0</v>
      </c>
      <c r="BD24" s="19"/>
      <c r="BE24" s="2"/>
    </row>
    <row r="25" spans="1:57" ht="30" customHeight="1" x14ac:dyDescent="0.3">
      <c r="A25" s="26">
        <v>44833</v>
      </c>
      <c r="B25" s="3" t="s">
        <v>4</v>
      </c>
      <c r="C25" s="3" t="s">
        <v>26</v>
      </c>
      <c r="D25" s="3" t="s">
        <v>15</v>
      </c>
      <c r="E25" s="3" t="s">
        <v>15</v>
      </c>
      <c r="F25" s="3" t="s">
        <v>15</v>
      </c>
      <c r="G25" s="3" t="s">
        <v>146</v>
      </c>
      <c r="H25" s="4"/>
      <c r="I25" s="5">
        <v>0</v>
      </c>
      <c r="J25" s="5">
        <v>0</v>
      </c>
      <c r="K25" s="5">
        <f t="shared" si="26"/>
        <v>0</v>
      </c>
      <c r="L25" s="134">
        <f t="shared" si="27"/>
        <v>0</v>
      </c>
      <c r="M25" s="135"/>
      <c r="N25" s="27">
        <v>0</v>
      </c>
      <c r="O25" s="27">
        <v>0</v>
      </c>
      <c r="P25" s="5">
        <f t="shared" si="28"/>
        <v>0</v>
      </c>
      <c r="Q25" s="29">
        <f t="shared" si="29"/>
        <v>0</v>
      </c>
      <c r="R25" s="27">
        <v>0</v>
      </c>
      <c r="S25" s="27">
        <v>0</v>
      </c>
      <c r="T25" s="5">
        <f t="shared" si="46"/>
        <v>0</v>
      </c>
      <c r="U25" s="29"/>
      <c r="V25" s="5">
        <f t="shared" si="30"/>
        <v>0</v>
      </c>
      <c r="W25" s="23">
        <f t="shared" si="31"/>
        <v>0</v>
      </c>
      <c r="X25" s="134">
        <f t="shared" si="32"/>
        <v>0</v>
      </c>
      <c r="Y25" s="18">
        <f t="shared" si="33"/>
        <v>0</v>
      </c>
      <c r="Z25" s="117"/>
      <c r="AA25" s="5">
        <v>0</v>
      </c>
      <c r="AB25" s="5">
        <v>0</v>
      </c>
      <c r="AC25" s="5">
        <f>MOD((AB25-AA25),1)</f>
        <v>0</v>
      </c>
      <c r="AD25" s="139">
        <f t="shared" si="35"/>
        <v>0</v>
      </c>
      <c r="AE25" s="135"/>
      <c r="AF25" s="85" cm="1">
        <f t="array" ref="AF25">IF(C25="Normal/Straight",L25+X25+AD25,0)+IF(C25="Broken Shift",L25+X25+AD25,0)+IF(C25="Relief Yard Supervisor",L25+X25+AD25,0)+IF(C25="ADOC",L25+X25+AD25,0)+IF(C25="Senior Bus/Yard Ops",L25+AH11Z9+AD25,0)</f>
        <v>0</v>
      </c>
      <c r="AG25" s="18" t="e">
        <f>IF($AF25&gt;#REF!,#REF!,AF25)</f>
        <v>#REF!</v>
      </c>
      <c r="AH25" s="18">
        <v>0</v>
      </c>
      <c r="AI25" s="18" t="e">
        <f>IF($AF25&gt;#REF!,IF($AF25&lt;=11,$AF25-#REF!,MIN($AF25-#REF!,3)),0)</f>
        <v>#REF!</v>
      </c>
      <c r="AJ25" s="18" t="e">
        <f t="shared" si="36"/>
        <v>#REF!</v>
      </c>
      <c r="AK25" s="19"/>
      <c r="AL25" s="18">
        <f>IF($C25="Normal/Straight",'Penalty Rate Calculator'!$H26,0)+IF(C25="Senior Bus/Yard Ops",'Penalty Rate Calculator'!H26,0)</f>
        <v>0</v>
      </c>
      <c r="AM25" s="18">
        <f>IF($C25="Normal/Straight",'Penalty Rate Calculator'!$R26,0)+IF(C25="Senior Bus/Yard Ops",'Penalty Rate Calculator'!R26,0)</f>
        <v>0</v>
      </c>
      <c r="AN25" s="85">
        <f t="shared" si="37"/>
        <v>0</v>
      </c>
      <c r="AO25" s="18">
        <f t="shared" si="38"/>
        <v>0</v>
      </c>
      <c r="AP25" s="18">
        <f t="shared" si="39"/>
        <v>0</v>
      </c>
      <c r="AQ25" s="18">
        <f t="shared" si="40"/>
        <v>0</v>
      </c>
      <c r="AR25" s="19"/>
      <c r="AS25" s="18">
        <f t="shared" si="41"/>
        <v>0</v>
      </c>
      <c r="AT25" s="18">
        <f>IF($D25="Public Holiday+Work",#REF!,0)</f>
        <v>0</v>
      </c>
      <c r="AU25" s="18">
        <f>IF(D25="Public Holiday",#REF!,0)</f>
        <v>0</v>
      </c>
      <c r="AV25" s="19"/>
      <c r="AW25" s="18">
        <f t="shared" si="42"/>
        <v>0</v>
      </c>
      <c r="AX25" s="18">
        <f>IF($D25="RDOC",#REF!,0)</f>
        <v>0</v>
      </c>
      <c r="AY25" s="18">
        <f t="shared" si="43"/>
        <v>0</v>
      </c>
      <c r="AZ25" s="111">
        <f>IF(C25="ADO",#REF!,0)</f>
        <v>0</v>
      </c>
      <c r="BA25" s="18">
        <f>IF($D25="ADOC",#REF!,0)</f>
        <v>0</v>
      </c>
      <c r="BB25" s="18">
        <f>IF($D25="ADOC",#REF!,0)</f>
        <v>0</v>
      </c>
      <c r="BC25" s="18">
        <f t="shared" si="44"/>
        <v>0</v>
      </c>
      <c r="BD25" s="19"/>
      <c r="BE25" s="2"/>
    </row>
    <row r="26" spans="1:57" ht="30" customHeight="1" x14ac:dyDescent="0.3">
      <c r="A26" s="26">
        <v>44834</v>
      </c>
      <c r="B26" s="4" t="s">
        <v>5</v>
      </c>
      <c r="C26" s="7" t="s">
        <v>26</v>
      </c>
      <c r="D26" s="7" t="s">
        <v>15</v>
      </c>
      <c r="E26" s="7" t="s">
        <v>15</v>
      </c>
      <c r="F26" s="7" t="s">
        <v>15</v>
      </c>
      <c r="G26" s="4" t="s">
        <v>147</v>
      </c>
      <c r="H26" s="4"/>
      <c r="I26" s="9">
        <v>0</v>
      </c>
      <c r="J26" s="9">
        <v>0</v>
      </c>
      <c r="K26" s="9">
        <f t="shared" si="26"/>
        <v>0</v>
      </c>
      <c r="L26" s="144">
        <f t="shared" si="27"/>
        <v>0</v>
      </c>
      <c r="M26" s="135"/>
      <c r="N26" s="27">
        <v>0</v>
      </c>
      <c r="O26" s="27">
        <v>0</v>
      </c>
      <c r="P26" s="8">
        <f t="shared" si="28"/>
        <v>0</v>
      </c>
      <c r="Q26" s="29">
        <f t="shared" si="29"/>
        <v>0</v>
      </c>
      <c r="R26" s="27">
        <v>0</v>
      </c>
      <c r="S26" s="27">
        <v>0</v>
      </c>
      <c r="T26" s="9">
        <f t="shared" si="46"/>
        <v>0</v>
      </c>
      <c r="U26" s="29"/>
      <c r="V26" s="86">
        <f t="shared" si="30"/>
        <v>0</v>
      </c>
      <c r="W26" s="120">
        <f t="shared" si="31"/>
        <v>0</v>
      </c>
      <c r="X26" s="133">
        <f t="shared" si="32"/>
        <v>0</v>
      </c>
      <c r="Y26" s="124">
        <f t="shared" si="33"/>
        <v>0</v>
      </c>
      <c r="Z26" s="117"/>
      <c r="AA26" s="9">
        <v>0</v>
      </c>
      <c r="AB26" s="9">
        <v>0</v>
      </c>
      <c r="AC26" s="9">
        <f t="shared" si="34"/>
        <v>0</v>
      </c>
      <c r="AD26" s="138">
        <f t="shared" si="35"/>
        <v>0</v>
      </c>
      <c r="AE26" s="135"/>
      <c r="AF26" s="84" cm="1">
        <f t="array" ref="AF26">IF(C26="Normal/Straight",L26+X26+AD26,0)+IF(C26="Broken Shift",L26+X26+AD26,0)+IF(C26="Relief Yard Supervisor",L26+X26+AD26,0)+IF(C26="ADOC",L26+X26+AD26,0)+IF(C26="Senior Bus/Yard Ops",L26+AH11Z9+AD26,0)</f>
        <v>0</v>
      </c>
      <c r="AG26" s="44" t="e">
        <f>IF($AF26&gt;#REF!,#REF!,AF26)</f>
        <v>#REF!</v>
      </c>
      <c r="AH26" s="19">
        <v>0</v>
      </c>
      <c r="AI26" s="44" t="e">
        <f>IF($AF26&gt;#REF!,IF($AF26&lt;=11,$AF26-#REF!,MIN($AF26-#REF!,3)),0)</f>
        <v>#REF!</v>
      </c>
      <c r="AJ26" s="44" t="e">
        <f t="shared" si="36"/>
        <v>#REF!</v>
      </c>
      <c r="AK26" s="19"/>
      <c r="AL26" s="45">
        <f>IF($C26="Normal/Straight",'Penalty Rate Calculator'!$H27,0)+IF(C26="Senior Bus/Yard Ops",'Penalty Rate Calculator'!H27,0)</f>
        <v>0</v>
      </c>
      <c r="AM26" s="45">
        <f>IF($C26="Normal/Straight",'Penalty Rate Calculator'!$R27,0)+IF(C26="Senior Bus/Yard Ops",'Penalty Rate Calculator'!R27,0)</f>
        <v>0</v>
      </c>
      <c r="AN26" s="108">
        <f t="shared" si="37"/>
        <v>0</v>
      </c>
      <c r="AO26" s="45">
        <f t="shared" si="38"/>
        <v>0</v>
      </c>
      <c r="AP26" s="45">
        <f t="shared" si="39"/>
        <v>0</v>
      </c>
      <c r="AQ26" s="45">
        <f t="shared" si="40"/>
        <v>0</v>
      </c>
      <c r="AR26" s="19"/>
      <c r="AS26" s="45">
        <f t="shared" si="41"/>
        <v>0</v>
      </c>
      <c r="AT26" s="45">
        <f>IF($D26="Public Holiday+Work",#REF!,0)</f>
        <v>0</v>
      </c>
      <c r="AU26" s="45">
        <f>IF(D26="Public Holiday",#REF!,0)</f>
        <v>0</v>
      </c>
      <c r="AV26" s="19"/>
      <c r="AW26" s="44">
        <f t="shared" si="42"/>
        <v>0</v>
      </c>
      <c r="AX26" s="44">
        <f>IF($D26="RDOC",#REF!,0)</f>
        <v>0</v>
      </c>
      <c r="AY26" s="44">
        <f t="shared" si="43"/>
        <v>0</v>
      </c>
      <c r="AZ26" s="110">
        <f>IF(C26="ADO",#REF!,0)</f>
        <v>0</v>
      </c>
      <c r="BA26" s="45">
        <f>IF($D26="ADOC",#REF!,0)</f>
        <v>0</v>
      </c>
      <c r="BB26" s="45">
        <f>IF($D26="ADOC",#REF!,0)</f>
        <v>0</v>
      </c>
      <c r="BC26" s="45">
        <f t="shared" si="44"/>
        <v>0</v>
      </c>
      <c r="BD26" s="19"/>
      <c r="BE26" s="2"/>
    </row>
    <row r="27" spans="1:57" ht="30" customHeight="1" x14ac:dyDescent="0.3">
      <c r="A27" s="26">
        <v>44835</v>
      </c>
      <c r="B27" s="3" t="s">
        <v>6</v>
      </c>
      <c r="C27" s="3" t="s">
        <v>99</v>
      </c>
      <c r="D27" s="3" t="s">
        <v>15</v>
      </c>
      <c r="E27" s="3" t="s">
        <v>15</v>
      </c>
      <c r="F27" s="3" t="s">
        <v>15</v>
      </c>
      <c r="G27" s="3" t="s">
        <v>148</v>
      </c>
      <c r="H27" s="4"/>
      <c r="I27" s="5">
        <v>0</v>
      </c>
      <c r="J27" s="5">
        <v>0</v>
      </c>
      <c r="K27" s="5">
        <f t="shared" si="26"/>
        <v>0</v>
      </c>
      <c r="L27" s="134">
        <f t="shared" si="27"/>
        <v>0</v>
      </c>
      <c r="M27" s="135"/>
      <c r="N27" s="27">
        <v>0</v>
      </c>
      <c r="O27" s="27">
        <v>0</v>
      </c>
      <c r="P27" s="5">
        <f t="shared" ref="P27" si="47">MOD((O27-N27),1)</f>
        <v>0</v>
      </c>
      <c r="Q27" s="29">
        <f t="shared" si="29"/>
        <v>0</v>
      </c>
      <c r="R27" s="27">
        <v>0</v>
      </c>
      <c r="S27" s="27">
        <v>0</v>
      </c>
      <c r="T27" s="5">
        <f t="shared" ref="T27" si="48">MOD((S27-R27),1)</f>
        <v>0</v>
      </c>
      <c r="U27" s="29"/>
      <c r="V27" s="5">
        <f t="shared" si="30"/>
        <v>0</v>
      </c>
      <c r="W27" s="23">
        <f t="shared" si="31"/>
        <v>0</v>
      </c>
      <c r="X27" s="134">
        <f t="shared" si="32"/>
        <v>0</v>
      </c>
      <c r="Y27" s="18">
        <f t="shared" si="33"/>
        <v>0</v>
      </c>
      <c r="Z27" s="117"/>
      <c r="AA27" s="5">
        <v>0</v>
      </c>
      <c r="AB27" s="5">
        <v>0</v>
      </c>
      <c r="AC27" s="5">
        <f t="shared" si="34"/>
        <v>0</v>
      </c>
      <c r="AD27" s="139">
        <f t="shared" si="35"/>
        <v>0</v>
      </c>
      <c r="AE27" s="135"/>
      <c r="AF27" s="85" cm="1">
        <f t="array" ref="AF27">IF(C27="Normal/Straight",L27+X27+AD27,0)+IF(C27="Broken Shift",L27+X27+AD27,0)+IF(C27="Relief Yard Supervisor",L27+X27+AD27,0)+IF(C27="ADOC",L27+X27+AD27,0)+IF(C27="Senior Bus/Yard Ops",L27+AH11Z9+AD27,0)</f>
        <v>0</v>
      </c>
      <c r="AG27" s="18">
        <f>SUM(AF27)</f>
        <v>0</v>
      </c>
      <c r="AH27" s="18">
        <v>0</v>
      </c>
      <c r="AI27" s="18" t="e">
        <f>IF($AF27&gt;#REF!,IF($AF27&lt;=11,$AF27-#REF!,MIN($AF27-#REF!,3)),0)</f>
        <v>#REF!</v>
      </c>
      <c r="AJ27" s="18" t="e">
        <f>$AF27-($AG27+$AI27)</f>
        <v>#REF!</v>
      </c>
      <c r="AK27" s="19"/>
      <c r="AL27" s="18">
        <f>IF($C27="Normal/Straight",'Penalty Rate Calculator'!$H28,0)+IF(C27="Senior Bus/Yard Ops",'Penalty Rate Calculator'!H28,0)</f>
        <v>0</v>
      </c>
      <c r="AM27" s="18">
        <f>IF($C27="Normal/Straight",'Penalty Rate Calculator'!$R28,0)+IF(C27="Senior Bus/Yard Ops",'Penalty Rate Calculator'!R28,0)</f>
        <v>0</v>
      </c>
      <c r="AN27" s="85">
        <f t="shared" si="37"/>
        <v>0</v>
      </c>
      <c r="AO27" s="18">
        <f t="shared" si="38"/>
        <v>0</v>
      </c>
      <c r="AP27" s="18">
        <f t="shared" si="39"/>
        <v>0</v>
      </c>
      <c r="AQ27" s="18">
        <f t="shared" si="40"/>
        <v>0</v>
      </c>
      <c r="AR27" s="19"/>
      <c r="AS27" s="18">
        <f t="shared" si="41"/>
        <v>0</v>
      </c>
      <c r="AT27" s="18">
        <f>IF($D27="Public Holiday+Work",#REF!,0)</f>
        <v>0</v>
      </c>
      <c r="AU27" s="18">
        <f>IF(D27="Public Holiday",#REF!,0)</f>
        <v>0</v>
      </c>
      <c r="AV27" s="19"/>
      <c r="AW27" s="18">
        <f t="shared" si="42"/>
        <v>0</v>
      </c>
      <c r="AX27" s="18">
        <v>0</v>
      </c>
      <c r="AY27" s="18">
        <f>IF($C27="RDOC",AW27,0)</f>
        <v>0</v>
      </c>
      <c r="AZ27" s="111">
        <f>IF(C27="ADO",#REF!,0)</f>
        <v>0</v>
      </c>
      <c r="BA27" s="18">
        <f>IF($D27="ADOC",#REF!,0)</f>
        <v>0</v>
      </c>
      <c r="BB27" s="18">
        <f>IF($D27="ADOC",#REF!,0)</f>
        <v>0</v>
      </c>
      <c r="BC27" s="18">
        <f t="shared" si="44"/>
        <v>0</v>
      </c>
      <c r="BD27" s="19"/>
      <c r="BE27" s="2"/>
    </row>
    <row r="28" spans="1:57" ht="20.100000000000001" customHeight="1" x14ac:dyDescent="0.3">
      <c r="A28" s="89"/>
      <c r="B28" s="90"/>
      <c r="C28" s="91"/>
      <c r="D28" s="91"/>
      <c r="E28" s="91"/>
      <c r="F28" s="91"/>
      <c r="G28" s="96" t="s">
        <v>17</v>
      </c>
      <c r="H28" s="10"/>
      <c r="I28" s="89"/>
      <c r="J28" s="89"/>
      <c r="K28" s="99">
        <f>SUM(K21:K27)</f>
        <v>0</v>
      </c>
      <c r="L28" s="145">
        <f t="shared" ref="L28" si="49">SUM(L21:L27)</f>
        <v>0</v>
      </c>
      <c r="M28" s="148"/>
      <c r="N28" s="89"/>
      <c r="O28" s="89"/>
      <c r="P28" s="98">
        <f>SUM(P21:P27)*24</f>
        <v>7.9999999999999982</v>
      </c>
      <c r="Q28" s="89"/>
      <c r="R28" s="89"/>
      <c r="S28" s="89"/>
      <c r="T28" s="98">
        <f>SUM(T21:T27)*24</f>
        <v>13.483333333333334</v>
      </c>
      <c r="U28" s="76"/>
      <c r="V28" s="121">
        <f>SUM(V21:V27)</f>
        <v>0.89513888888888882</v>
      </c>
      <c r="W28" s="98">
        <f>SUM(W21:W27)</f>
        <v>21.483333333333334</v>
      </c>
      <c r="X28" s="98">
        <f t="shared" ref="X28" si="50">SUM(X21:X27)</f>
        <v>21.483333333333334</v>
      </c>
      <c r="Y28" s="98"/>
      <c r="Z28" s="76"/>
      <c r="AA28" s="89"/>
      <c r="AB28" s="89"/>
      <c r="AC28" s="99">
        <f>SUM(AC21:AC27)</f>
        <v>0</v>
      </c>
      <c r="AD28" s="140">
        <f t="shared" ref="AD28" si="51">SUM(AD21:AD27)</f>
        <v>0</v>
      </c>
      <c r="AE28" s="76"/>
      <c r="AF28" s="93">
        <f>SUM(AF21:AF27)</f>
        <v>21.483333333333334</v>
      </c>
      <c r="AG28" s="92" t="e">
        <f>SUM(AG21:AG27)</f>
        <v>#REF!</v>
      </c>
      <c r="AH28" s="102"/>
      <c r="AI28" s="98" t="e">
        <f t="shared" ref="AI28:BB28" si="52">SUM(AI21:AI27)</f>
        <v>#REF!</v>
      </c>
      <c r="AJ28" s="98" t="e">
        <f t="shared" si="52"/>
        <v>#REF!</v>
      </c>
      <c r="AK28" s="76"/>
      <c r="AL28" s="98">
        <f t="shared" si="52"/>
        <v>0</v>
      </c>
      <c r="AM28" s="98">
        <f t="shared" si="52"/>
        <v>0</v>
      </c>
      <c r="AN28" s="100">
        <f t="shared" ref="AN28:AQ28" si="53">SUM(AN21:AN27)</f>
        <v>23.233333333333334</v>
      </c>
      <c r="AO28" s="98"/>
      <c r="AP28" s="98">
        <f t="shared" si="53"/>
        <v>1</v>
      </c>
      <c r="AQ28" s="98">
        <f t="shared" si="53"/>
        <v>3.9833333333333343</v>
      </c>
      <c r="AR28" s="76"/>
      <c r="AS28" s="98">
        <f t="shared" si="52"/>
        <v>0</v>
      </c>
      <c r="AT28" s="98"/>
      <c r="AU28" s="98">
        <f t="shared" si="52"/>
        <v>0</v>
      </c>
      <c r="AV28" s="76"/>
      <c r="AW28" s="98">
        <f t="shared" si="52"/>
        <v>0</v>
      </c>
      <c r="AX28" s="98">
        <f t="shared" ref="AX28" si="54">SUM(AX21:AX27)</f>
        <v>0</v>
      </c>
      <c r="AY28" s="98">
        <f t="shared" si="52"/>
        <v>0</v>
      </c>
      <c r="AZ28" s="112">
        <f t="shared" si="52"/>
        <v>0</v>
      </c>
      <c r="BA28" s="98">
        <f t="shared" si="52"/>
        <v>0</v>
      </c>
      <c r="BB28" s="98">
        <f t="shared" si="52"/>
        <v>0</v>
      </c>
      <c r="BC28" s="98">
        <f t="shared" ref="BC28" si="55">SUM(BC21:BC27)</f>
        <v>0</v>
      </c>
      <c r="BD28" s="76"/>
      <c r="BE28" s="2"/>
    </row>
    <row r="29" spans="1:57" ht="5.0999999999999996" customHeight="1" x14ac:dyDescent="0.3">
      <c r="A29" s="17"/>
      <c r="B29" s="10"/>
      <c r="C29" s="4"/>
      <c r="D29" s="4"/>
      <c r="E29" s="4"/>
      <c r="F29" s="4"/>
      <c r="G29" s="10"/>
      <c r="H29" s="10"/>
      <c r="I29" s="10"/>
      <c r="J29" s="10"/>
      <c r="K29" s="10"/>
      <c r="L29" s="10"/>
      <c r="M29" s="2"/>
      <c r="N29" s="10"/>
      <c r="O29" s="10"/>
      <c r="P29" s="10"/>
      <c r="Q29" s="10"/>
      <c r="R29" s="10"/>
      <c r="S29" s="10"/>
      <c r="T29" s="10"/>
      <c r="U29" s="2"/>
      <c r="V29" s="10"/>
      <c r="W29" s="10"/>
      <c r="X29" s="10"/>
      <c r="Y29" s="10"/>
      <c r="Z29" s="119"/>
      <c r="AA29" s="10"/>
      <c r="AB29" s="10"/>
      <c r="AC29" s="10"/>
      <c r="AD29" s="10"/>
      <c r="AE29" s="10"/>
      <c r="AF29" s="20"/>
      <c r="AG29" s="10"/>
      <c r="AH29" s="10"/>
      <c r="AI29" s="10"/>
      <c r="AJ29" s="10"/>
      <c r="AK29" s="2"/>
      <c r="AL29" s="10"/>
      <c r="AM29" s="10"/>
      <c r="AN29" s="2"/>
      <c r="AO29" s="2"/>
      <c r="AP29" s="2"/>
      <c r="AQ29" s="2"/>
      <c r="AR29" s="2"/>
      <c r="AS29" s="10"/>
      <c r="AT29" s="10"/>
      <c r="AU29" s="10"/>
      <c r="AV29" s="2"/>
      <c r="AW29" s="10"/>
      <c r="AX29" s="10"/>
      <c r="AY29" s="10"/>
      <c r="AZ29" s="10"/>
      <c r="BA29" s="10"/>
      <c r="BB29" s="10"/>
      <c r="BC29" s="10"/>
      <c r="BD29" s="2"/>
      <c r="BE29" s="2"/>
    </row>
    <row r="30" spans="1:57" ht="20.100000000000001" customHeight="1" x14ac:dyDescent="0.3">
      <c r="A30" s="56"/>
      <c r="B30" s="94"/>
      <c r="C30" s="51"/>
      <c r="D30" s="51"/>
      <c r="E30" s="51"/>
      <c r="F30" s="51"/>
      <c r="G30" s="95" t="s">
        <v>18</v>
      </c>
      <c r="H30" s="10"/>
      <c r="I30" s="103"/>
      <c r="J30" s="103"/>
      <c r="K30" s="131">
        <f>SUM(K28,K16)</f>
        <v>0</v>
      </c>
      <c r="L30" s="146">
        <f t="shared" ref="L30" si="56">SUM(L28,L16)</f>
        <v>0</v>
      </c>
      <c r="M30" s="149"/>
      <c r="N30" s="103"/>
      <c r="O30" s="104"/>
      <c r="P30" s="105">
        <f>SUM(P28,P16)</f>
        <v>29</v>
      </c>
      <c r="Q30" s="104"/>
      <c r="R30" s="103"/>
      <c r="S30" s="103"/>
      <c r="T30" s="105">
        <f>SUM(T28,T16)</f>
        <v>37.483333333333334</v>
      </c>
      <c r="U30" s="126"/>
      <c r="V30" s="122">
        <f>SUM(V28,V16)</f>
        <v>2.7701388888888889</v>
      </c>
      <c r="W30" s="105">
        <f t="shared" ref="W30:X30" si="57">SUM(W28,W16)</f>
        <v>66.483333333333334</v>
      </c>
      <c r="X30" s="130">
        <f t="shared" si="57"/>
        <v>66.483333333333334</v>
      </c>
      <c r="Y30" s="130"/>
      <c r="Z30" s="107"/>
      <c r="AA30" s="103"/>
      <c r="AB30" s="103"/>
      <c r="AC30" s="131">
        <f>SUM(AC28,AC16)</f>
        <v>0</v>
      </c>
      <c r="AD30" s="141">
        <f t="shared" ref="AD30" si="58">SUM(AD28,AD16)</f>
        <v>0</v>
      </c>
      <c r="AE30" s="126"/>
      <c r="AF30" s="115">
        <f t="shared" ref="AF30" si="59">SUM(AF28,AF16)</f>
        <v>60.483333333333334</v>
      </c>
      <c r="AG30" s="106" t="e">
        <f t="shared" ref="AG30:BC30" si="60">SUM(AG28,AG16)</f>
        <v>#REF!</v>
      </c>
      <c r="AH30" s="106">
        <f t="shared" si="60"/>
        <v>0</v>
      </c>
      <c r="AI30" s="106" t="e">
        <f t="shared" si="60"/>
        <v>#REF!</v>
      </c>
      <c r="AJ30" s="106" t="e">
        <f t="shared" si="60"/>
        <v>#REF!</v>
      </c>
      <c r="AK30" s="78"/>
      <c r="AL30" s="106">
        <f t="shared" si="60"/>
        <v>1.5</v>
      </c>
      <c r="AM30" s="106">
        <f t="shared" si="60"/>
        <v>0</v>
      </c>
      <c r="AN30" s="115">
        <f t="shared" ref="AN30:AQ30" si="61">SUM(AN28,AN16)</f>
        <v>58.233333333333334</v>
      </c>
      <c r="AO30" s="106"/>
      <c r="AP30" s="106">
        <f t="shared" si="61"/>
        <v>1</v>
      </c>
      <c r="AQ30" s="106">
        <f t="shared" si="61"/>
        <v>3.9833333333333343</v>
      </c>
      <c r="AR30" s="107"/>
      <c r="AS30" s="106">
        <f t="shared" si="60"/>
        <v>0</v>
      </c>
      <c r="AT30" s="106"/>
      <c r="AU30" s="106">
        <f t="shared" si="60"/>
        <v>0</v>
      </c>
      <c r="AV30" s="78"/>
      <c r="AW30" s="106"/>
      <c r="AX30" s="106">
        <f t="shared" si="60"/>
        <v>0</v>
      </c>
      <c r="AY30" s="106"/>
      <c r="AZ30" s="113">
        <f t="shared" si="60"/>
        <v>0</v>
      </c>
      <c r="BA30" s="106"/>
      <c r="BB30" s="106" t="e">
        <f t="shared" si="60"/>
        <v>#REF!</v>
      </c>
      <c r="BC30" s="106" t="e">
        <f t="shared" si="60"/>
        <v>#REF!</v>
      </c>
      <c r="BD30" s="78"/>
      <c r="BE30" s="2"/>
    </row>
    <row r="31" spans="1:57" x14ac:dyDescent="0.3">
      <c r="A31" s="2"/>
      <c r="B31" s="2"/>
      <c r="C31" s="7"/>
      <c r="D31" s="7"/>
      <c r="E31" s="7"/>
      <c r="F31" s="7"/>
      <c r="G31" s="2"/>
      <c r="H31" s="10"/>
      <c r="I31" s="10"/>
      <c r="J31" s="10"/>
      <c r="K31" s="10"/>
      <c r="L31" s="10"/>
      <c r="M31" s="10"/>
      <c r="N31" s="2"/>
      <c r="O31" s="11"/>
      <c r="P31" s="11"/>
      <c r="Q31" s="11"/>
      <c r="R31" s="2"/>
      <c r="S31" s="2"/>
      <c r="T31" s="2"/>
      <c r="U31" s="2"/>
      <c r="V31" s="2"/>
      <c r="W31" s="2"/>
      <c r="X31" s="2"/>
      <c r="Y31" s="2"/>
      <c r="Z31" s="12"/>
      <c r="AA31" s="12"/>
      <c r="AB31" s="12"/>
      <c r="AC31" s="12"/>
      <c r="AD31" s="12"/>
      <c r="AE31" s="12"/>
      <c r="AF31" s="1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</sheetData>
  <mergeCells count="23">
    <mergeCell ref="V4:W4"/>
    <mergeCell ref="X4:X5"/>
    <mergeCell ref="A4:A5"/>
    <mergeCell ref="B4:B5"/>
    <mergeCell ref="C4:C5"/>
    <mergeCell ref="G4:G5"/>
    <mergeCell ref="Q4:Q5"/>
    <mergeCell ref="A1:B1"/>
    <mergeCell ref="A2:B2"/>
    <mergeCell ref="A3:B3"/>
    <mergeCell ref="AW4:AY4"/>
    <mergeCell ref="BA4:BC4"/>
    <mergeCell ref="D4:E4"/>
    <mergeCell ref="AZ4:AZ5"/>
    <mergeCell ref="AN4:AQ4"/>
    <mergeCell ref="AA4:AJ4"/>
    <mergeCell ref="Y4:Y5"/>
    <mergeCell ref="I4:L4"/>
    <mergeCell ref="AW2:AY2"/>
    <mergeCell ref="AS4:AU4"/>
    <mergeCell ref="N4:P4"/>
    <mergeCell ref="R4:T4"/>
    <mergeCell ref="AL4:AM4"/>
  </mergeCells>
  <phoneticPr fontId="22" type="noConversion"/>
  <hyperlinks>
    <hyperlink ref="B9" location="'Work Calculator'!B9" display="Sunday" xr:uid="{9640012B-82E9-42E9-B0AF-E93997D50931}"/>
    <hyperlink ref="B10:B15" location="'Work Calculator'!B9" display="Sunday" xr:uid="{FDFEEED4-279A-4A43-8DD3-E508FB141F08}"/>
  </hyperlinks>
  <printOptions verticalCentered="1"/>
  <pageMargins left="0.39370078740157483" right="0.39370078740157483" top="0.59055118110236227" bottom="0.59055118110236227" header="0.31496062992125984" footer="0.31496062992125984"/>
  <pageSetup paperSize="9" scale="70" orientation="landscape" horizontalDpi="0" verticalDpi="0" r:id="rId1"/>
  <colBreaks count="4" manualBreakCount="4">
    <brk id="12" max="1048575" man="1"/>
    <brk id="25" max="1048575" man="1"/>
    <brk id="39" max="1048575" man="1"/>
    <brk id="51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4000000}">
          <x14:formula1>
            <xm:f>'Data Validation Lists'!$A$5:$A$19</xm:f>
          </x14:formula1>
          <xm:sqref>C9:C15 C21:C27</xm:sqref>
        </x14:dataValidation>
        <x14:dataValidation type="list" allowBlank="1" showInputMessage="1" showErrorMessage="1" xr:uid="{4BB04F80-4CB3-4BA5-BE25-E4CAA06A052C}">
          <x14:formula1>
            <xm:f>'Data Validation Lists'!$B$5:$B$11</xm:f>
          </x14:formula1>
          <xm:sqref>D9:D15 D21:D27</xm:sqref>
        </x14:dataValidation>
        <x14:dataValidation type="list" allowBlank="1" showInputMessage="1" showErrorMessage="1" xr:uid="{395B9BF7-A600-4538-8445-8A32E85A9DF0}">
          <x14:formula1>
            <xm:f>'Data Validation Lists'!$C$5:$C$11</xm:f>
          </x14:formula1>
          <xm:sqref>E9:E15 E21:E27</xm:sqref>
        </x14:dataValidation>
        <x14:dataValidation type="list" allowBlank="1" showInputMessage="1" showErrorMessage="1" xr:uid="{C75E653F-9E1D-4759-A09E-1ADE0325219D}">
          <x14:formula1>
            <xm:f>'Data Validation Lists'!$D$5:$D$7</xm:f>
          </x14:formula1>
          <xm:sqref>F9:F15 F21:F27</xm:sqref>
        </x14:dataValidation>
        <x14:dataValidation type="list" allowBlank="1" showInputMessage="1" showErrorMessage="1" xr:uid="{A0018352-E321-447E-9172-0122F9DF3B51}">
          <x14:formula1>
            <xm:f>'Data Validation Lists'!$G$5:$G$8</xm:f>
          </x14:formula1>
          <xm:sqref>C1</xm:sqref>
        </x14:dataValidation>
        <x14:dataValidation type="list" allowBlank="1" showInputMessage="1" showErrorMessage="1" xr:uid="{0394C85B-5CAC-47F0-AD3A-D994B96C8FE7}">
          <x14:formula1>
            <xm:f>'Data Validation Lists'!$H$5:$H$8</xm:f>
          </x14:formula1>
          <xm:sqref>C2</xm:sqref>
        </x14:dataValidation>
        <x14:dataValidation type="list" allowBlank="1" showInputMessage="1" showErrorMessage="1" xr:uid="{301FFCA8-044A-46DF-85BF-8924DCDEE785}">
          <x14:formula1>
            <xm:f>'Data Validation Lists'!$E$5:$E$10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0000"/>
  </sheetPr>
  <dimension ref="A1:V60"/>
  <sheetViews>
    <sheetView topLeftCell="A5" zoomScaleNormal="100" workbookViewId="0">
      <selection activeCell="P23" sqref="P23"/>
    </sheetView>
  </sheetViews>
  <sheetFormatPr defaultRowHeight="14.4" x14ac:dyDescent="0.3"/>
  <cols>
    <col min="1" max="1" width="14.6640625" customWidth="1"/>
    <col min="2" max="2" width="15.5546875" customWidth="1"/>
    <col min="8" max="11" width="10.6640625" customWidth="1"/>
    <col min="12" max="12" width="2.6640625" customWidth="1"/>
    <col min="15" max="16" width="10.44140625" bestFit="1" customWidth="1"/>
    <col min="17" max="17" width="9.33203125" bestFit="1" customWidth="1"/>
    <col min="18" max="18" width="10.6640625" customWidth="1"/>
    <col min="19" max="19" width="2.6640625" customWidth="1"/>
    <col min="20" max="20" width="12.6640625" style="24" customWidth="1"/>
    <col min="21" max="21" width="12.6640625" customWidth="1"/>
  </cols>
  <sheetData>
    <row r="1" spans="1:22" ht="25.8" x14ac:dyDescent="0.5">
      <c r="A1" s="157" t="s">
        <v>114</v>
      </c>
      <c r="V1" s="158" t="s">
        <v>116</v>
      </c>
    </row>
    <row r="2" spans="1:22" x14ac:dyDescent="0.3">
      <c r="A2" s="156" t="s">
        <v>151</v>
      </c>
    </row>
    <row r="4" spans="1:22" ht="24" customHeight="1" x14ac:dyDescent="0.3">
      <c r="A4" s="24"/>
      <c r="B4" s="24"/>
      <c r="C4" s="182" t="s">
        <v>45</v>
      </c>
      <c r="D4" s="183"/>
      <c r="E4" s="184"/>
      <c r="F4" s="184"/>
      <c r="G4" s="184"/>
      <c r="H4" s="185"/>
      <c r="I4" s="160"/>
      <c r="J4" s="190" t="s">
        <v>129</v>
      </c>
      <c r="K4" s="190"/>
      <c r="L4" s="24"/>
      <c r="M4" s="186" t="s">
        <v>45</v>
      </c>
      <c r="N4" s="187"/>
      <c r="O4" s="188"/>
      <c r="P4" s="188"/>
      <c r="Q4" s="188"/>
      <c r="R4" s="189"/>
      <c r="T4" s="190"/>
      <c r="U4" s="190"/>
    </row>
    <row r="5" spans="1:22" ht="19.95" customHeight="1" x14ac:dyDescent="0.3">
      <c r="A5" s="24"/>
      <c r="B5" s="24"/>
      <c r="C5" s="182" t="s">
        <v>37</v>
      </c>
      <c r="D5" s="184"/>
      <c r="E5" s="184"/>
      <c r="F5" s="184"/>
      <c r="G5" s="184"/>
      <c r="H5" s="185"/>
      <c r="I5" s="160"/>
      <c r="J5" s="160"/>
      <c r="K5" s="160" t="s">
        <v>71</v>
      </c>
      <c r="L5" s="24"/>
      <c r="M5" s="186" t="s">
        <v>38</v>
      </c>
      <c r="N5" s="188"/>
      <c r="O5" s="188"/>
      <c r="P5" s="188"/>
      <c r="Q5" s="188"/>
      <c r="R5" s="189"/>
      <c r="T5" s="48" t="s">
        <v>152</v>
      </c>
    </row>
    <row r="6" spans="1:22" ht="19.95" customHeight="1" x14ac:dyDescent="0.3">
      <c r="A6" s="24"/>
      <c r="B6" s="24"/>
      <c r="C6" s="46" t="s">
        <v>41</v>
      </c>
      <c r="D6" s="46" t="s">
        <v>42</v>
      </c>
      <c r="E6" s="46" t="s">
        <v>43</v>
      </c>
      <c r="F6" s="46" t="s">
        <v>11</v>
      </c>
      <c r="G6" s="46" t="s">
        <v>44</v>
      </c>
      <c r="H6" s="46" t="s">
        <v>71</v>
      </c>
      <c r="I6" s="48"/>
      <c r="J6" s="46"/>
      <c r="K6" s="46"/>
      <c r="L6" s="35"/>
      <c r="M6" s="47" t="s">
        <v>41</v>
      </c>
      <c r="N6" s="47" t="s">
        <v>42</v>
      </c>
      <c r="O6" s="47" t="s">
        <v>43</v>
      </c>
      <c r="P6" s="47" t="s">
        <v>11</v>
      </c>
      <c r="Q6" s="47" t="s">
        <v>44</v>
      </c>
      <c r="R6" s="47" t="s">
        <v>71</v>
      </c>
    </row>
    <row r="7" spans="1:22" ht="4.95" customHeight="1" x14ac:dyDescent="0.3">
      <c r="A7" s="24"/>
      <c r="B7" s="24"/>
      <c r="C7" s="48"/>
      <c r="D7" s="48"/>
      <c r="E7" s="48"/>
      <c r="F7" s="48"/>
      <c r="G7" s="48"/>
      <c r="H7" s="48"/>
      <c r="I7" s="48"/>
      <c r="J7" s="48"/>
      <c r="K7" s="48"/>
      <c r="L7" s="35"/>
      <c r="M7" s="48"/>
      <c r="N7" s="48"/>
      <c r="O7" s="48"/>
      <c r="P7" s="48"/>
      <c r="Q7" s="48"/>
    </row>
    <row r="8" spans="1:22" ht="19.95" customHeight="1" x14ac:dyDescent="0.3">
      <c r="A8" s="54" t="s">
        <v>19</v>
      </c>
      <c r="B8" s="55"/>
      <c r="C8" s="56"/>
      <c r="D8" s="56"/>
      <c r="E8" s="56"/>
      <c r="F8" s="56"/>
      <c r="G8" s="56"/>
      <c r="H8" s="56"/>
      <c r="I8" s="161"/>
      <c r="J8" s="56"/>
      <c r="K8" s="56"/>
      <c r="L8" s="80"/>
      <c r="M8" s="56"/>
      <c r="N8" s="56"/>
      <c r="O8" s="56"/>
      <c r="P8" s="56"/>
      <c r="Q8" s="56"/>
      <c r="R8" s="69"/>
    </row>
    <row r="9" spans="1:22" ht="4.95" customHeight="1" x14ac:dyDescent="0.3">
      <c r="A9" s="13"/>
      <c r="B9" s="1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22" ht="19.95" customHeight="1" x14ac:dyDescent="0.3">
      <c r="A10" s="26">
        <f>('Work Calculator'!A9)</f>
        <v>44822</v>
      </c>
      <c r="B10" s="15" t="str">
        <f>('Work Calculator'!B9)</f>
        <v>Sunday</v>
      </c>
      <c r="C10" s="58">
        <f>IF('Work Calculator'!N9="","",'Work Calculator'!N9)</f>
        <v>0</v>
      </c>
      <c r="D10" s="58">
        <f>IF('Work Calculator'!O9="","",'Work Calculator'!O9)</f>
        <v>0</v>
      </c>
      <c r="E10" s="59">
        <f>IF(C10="","",24*MOD(D10-C10,1))</f>
        <v>0</v>
      </c>
      <c r="F10" s="60">
        <f>IF(C10="","",24*(MAX(MIN(D10+(D10&lt;C10),TIME(20,0,0))-MAX(C10,TIME(7,0,0)),0)+IF(D10&lt;C10,MAX(D10-TIME(7,0,0),0),0)))</f>
        <v>0</v>
      </c>
      <c r="G10" s="59">
        <f>IF(C10="","",E10-F10)*0</f>
        <v>0</v>
      </c>
      <c r="H10" s="59">
        <f>CEILING($G10,0.25)</f>
        <v>0</v>
      </c>
      <c r="I10" s="155"/>
      <c r="J10" s="59">
        <f t="shared" ref="J10" si="0">SUM(E10)</f>
        <v>0</v>
      </c>
      <c r="K10" s="59">
        <f>CEILING(J10,0.25)</f>
        <v>0</v>
      </c>
      <c r="L10" s="39"/>
      <c r="M10" s="58">
        <f>IF('Work Calculator'!R9="","",'Work Calculator'!R9)</f>
        <v>0</v>
      </c>
      <c r="N10" s="58">
        <f>IF('Work Calculator'!S9="","",'Work Calculator'!S9)</f>
        <v>0</v>
      </c>
      <c r="O10" s="59">
        <f t="shared" ref="O10:O16" si="1">IF(M10="","",24*MOD(N10-M10,1))</f>
        <v>0</v>
      </c>
      <c r="P10" s="60">
        <f>IF(C10="","",24*(MAX(MIN(N10+(N10&lt;C10),TIME(20,0,0))-MAX(C10,TIME(7,0,0)),0)+IF(N10&lt;C10,MAX(N10-TIME(7,0,0),0),0)))</f>
        <v>0</v>
      </c>
      <c r="Q10" s="59">
        <f t="shared" ref="Q10" si="2">IF(M10="","",O10-P10)</f>
        <v>0</v>
      </c>
      <c r="R10" s="60">
        <f>CEILING($Q10,0.25)</f>
        <v>0</v>
      </c>
      <c r="T10" s="166">
        <f t="shared" ref="T10:T17" si="3">SUM(H10+R10)</f>
        <v>0</v>
      </c>
    </row>
    <row r="11" spans="1:22" ht="19.95" customHeight="1" x14ac:dyDescent="0.3">
      <c r="A11" s="43">
        <f>('Work Calculator'!A10)</f>
        <v>44823</v>
      </c>
      <c r="B11" s="7" t="str">
        <f>('Work Calculator'!B10)</f>
        <v>Monday</v>
      </c>
      <c r="C11" s="61">
        <f>IF('Work Calculator'!N10="","",'Work Calculator'!N10)</f>
        <v>0.10416666666666667</v>
      </c>
      <c r="D11" s="61">
        <f>IF('Work Calculator'!O10="","",'Work Calculator'!O10)</f>
        <v>0.27083333333333331</v>
      </c>
      <c r="E11" s="62">
        <f t="shared" ref="E11:E16" si="4">IF(C11="","",24*MOD(D11-C11,1))</f>
        <v>3.9999999999999991</v>
      </c>
      <c r="F11" s="63">
        <f t="shared" ref="F11:F16" si="5">IF(C11="","",24*(MAX(MIN(D11+(D11&lt;C11),TIME(20,0,0))-MAX(C11,TIME(7,0,0)),0)+IF(D11&lt;C11,MAX(D11-TIME(7,0,0),0),0)))</f>
        <v>0</v>
      </c>
      <c r="G11" s="62">
        <f t="shared" ref="G11:G16" si="6">IF(C11="","",E11-F11)</f>
        <v>3.9999999999999991</v>
      </c>
      <c r="H11" s="62">
        <f t="shared" ref="H11:H16" si="7">CEILING($G11,0.25)</f>
        <v>4</v>
      </c>
      <c r="I11" s="155"/>
      <c r="J11" s="62">
        <f t="shared" ref="J11:J16" si="8">SUM(E11)</f>
        <v>3.9999999999999991</v>
      </c>
      <c r="K11" s="62">
        <f>CEILING(J11,0.25)</f>
        <v>4</v>
      </c>
      <c r="L11" s="39"/>
      <c r="M11" s="64">
        <f>IF('Work Calculator'!R10="","",'Work Calculator'!R10)</f>
        <v>0.3125</v>
      </c>
      <c r="N11" s="64">
        <f>IF('Work Calculator'!S10="","",'Work Calculator'!S10)</f>
        <v>0.47916666666666669</v>
      </c>
      <c r="O11" s="57">
        <f t="shared" si="1"/>
        <v>4</v>
      </c>
      <c r="P11" s="65">
        <f t="shared" ref="P11:P16" si="9">IF(M11="","",24*(MAX(MIN(N11+(N11&lt;M11),TIME(20,0,0))-MAX(M11,TIME(7,0,0)),0)+IF(N11&lt;M11,MAX(N11-TIME(7,0,0),0),0)))</f>
        <v>4</v>
      </c>
      <c r="Q11" s="57">
        <f t="shared" ref="Q11:Q16" si="10">IF(M11="","",O11-P11)</f>
        <v>0</v>
      </c>
      <c r="R11" s="65">
        <f>CEILING($Q11,0.25)</f>
        <v>0</v>
      </c>
      <c r="T11" s="166">
        <f t="shared" si="3"/>
        <v>4</v>
      </c>
      <c r="U11" s="62"/>
    </row>
    <row r="12" spans="1:22" ht="19.95" customHeight="1" x14ac:dyDescent="0.3">
      <c r="A12" s="14">
        <f>('Work Calculator'!A11)</f>
        <v>44824</v>
      </c>
      <c r="B12" s="3" t="str">
        <f>('Work Calculator'!B11)</f>
        <v>Tuesday</v>
      </c>
      <c r="C12" s="66">
        <f>IF('Work Calculator'!N11="","",'Work Calculator'!N11)</f>
        <v>0.14583333333333334</v>
      </c>
      <c r="D12" s="66">
        <f>IF('Work Calculator'!O11="","",'Work Calculator'!O11)</f>
        <v>0.3125</v>
      </c>
      <c r="E12" s="67">
        <f t="shared" si="4"/>
        <v>4</v>
      </c>
      <c r="F12" s="68">
        <f t="shared" si="5"/>
        <v>0.49999999999999956</v>
      </c>
      <c r="G12" s="67">
        <f t="shared" si="6"/>
        <v>3.5000000000000004</v>
      </c>
      <c r="H12" s="67">
        <f t="shared" si="7"/>
        <v>3.5</v>
      </c>
      <c r="I12" s="155"/>
      <c r="J12" s="67">
        <f t="shared" si="8"/>
        <v>4</v>
      </c>
      <c r="K12" s="62">
        <f t="shared" ref="K12:K16" si="11">CEILING(J12,0.25)</f>
        <v>4</v>
      </c>
      <c r="L12" s="155"/>
      <c r="M12" s="66">
        <f>IF('Work Calculator'!R11="","",'Work Calculator'!R11)</f>
        <v>0.35416666666666669</v>
      </c>
      <c r="N12" s="66">
        <f>IF('Work Calculator'!S11="","",'Work Calculator'!S11)</f>
        <v>0.52083333333333337</v>
      </c>
      <c r="O12" s="67">
        <f t="shared" si="1"/>
        <v>4</v>
      </c>
      <c r="P12" s="68">
        <f t="shared" si="9"/>
        <v>4</v>
      </c>
      <c r="Q12" s="67">
        <f t="shared" si="10"/>
        <v>0</v>
      </c>
      <c r="R12" s="82">
        <f t="shared" ref="R12:R16" si="12">CEILING($Q12,0.25)</f>
        <v>0</v>
      </c>
      <c r="T12" s="166">
        <f t="shared" si="3"/>
        <v>3.5</v>
      </c>
      <c r="U12" s="62"/>
    </row>
    <row r="13" spans="1:22" ht="19.95" customHeight="1" x14ac:dyDescent="0.3">
      <c r="A13" s="43">
        <f>('Work Calculator'!A12)</f>
        <v>44825</v>
      </c>
      <c r="B13" s="7" t="str">
        <f>('Work Calculator'!B12)</f>
        <v>Wednesday</v>
      </c>
      <c r="C13" s="61">
        <f>IF('Work Calculator'!N12="","",'Work Calculator'!N12)</f>
        <v>0.1875</v>
      </c>
      <c r="D13" s="61">
        <f>IF('Work Calculator'!O12="","",'Work Calculator'!O12)</f>
        <v>0.35416666666666669</v>
      </c>
      <c r="E13" s="62">
        <f t="shared" si="4"/>
        <v>4</v>
      </c>
      <c r="F13" s="63">
        <f t="shared" si="5"/>
        <v>1.5</v>
      </c>
      <c r="G13" s="62">
        <f t="shared" si="6"/>
        <v>2.5</v>
      </c>
      <c r="H13" s="62">
        <f t="shared" si="7"/>
        <v>2.5</v>
      </c>
      <c r="I13" s="155"/>
      <c r="J13" s="67">
        <f t="shared" si="8"/>
        <v>4</v>
      </c>
      <c r="K13" s="62">
        <f t="shared" si="11"/>
        <v>4</v>
      </c>
      <c r="L13" s="155"/>
      <c r="M13" s="64">
        <f>IF('Work Calculator'!R12="","",'Work Calculator'!R12)</f>
        <v>0.39583333333333331</v>
      </c>
      <c r="N13" s="64">
        <f>IF('Work Calculator'!S12="","",'Work Calculator'!S12)</f>
        <v>0.5625</v>
      </c>
      <c r="O13" s="57">
        <f t="shared" si="1"/>
        <v>4</v>
      </c>
      <c r="P13" s="65">
        <f t="shared" si="9"/>
        <v>4</v>
      </c>
      <c r="Q13" s="57">
        <f t="shared" si="10"/>
        <v>0</v>
      </c>
      <c r="R13" s="65">
        <f t="shared" si="12"/>
        <v>0</v>
      </c>
      <c r="T13" s="166">
        <f t="shared" si="3"/>
        <v>2.5</v>
      </c>
      <c r="U13" s="62"/>
    </row>
    <row r="14" spans="1:22" ht="19.95" customHeight="1" x14ac:dyDescent="0.3">
      <c r="A14" s="14">
        <f>('Work Calculator'!A13)</f>
        <v>44826</v>
      </c>
      <c r="B14" s="3" t="str">
        <f>('Work Calculator'!B13)</f>
        <v>Thursday</v>
      </c>
      <c r="C14" s="66">
        <f>IF('Work Calculator'!N13="","",'Work Calculator'!N13)</f>
        <v>0.22916666666666666</v>
      </c>
      <c r="D14" s="66">
        <f>IF('Work Calculator'!O13="","",'Work Calculator'!O13)</f>
        <v>0.39583333333333331</v>
      </c>
      <c r="E14" s="67">
        <f t="shared" si="4"/>
        <v>4</v>
      </c>
      <c r="F14" s="68">
        <f t="shared" si="5"/>
        <v>2.4999999999999991</v>
      </c>
      <c r="G14" s="67">
        <f t="shared" si="6"/>
        <v>1.5000000000000009</v>
      </c>
      <c r="H14" s="67">
        <f t="shared" si="7"/>
        <v>1.5</v>
      </c>
      <c r="I14" s="155"/>
      <c r="J14" s="67">
        <f t="shared" si="8"/>
        <v>4</v>
      </c>
      <c r="K14" s="62">
        <f t="shared" si="11"/>
        <v>4</v>
      </c>
      <c r="L14" s="39"/>
      <c r="M14" s="66">
        <f>IF('Work Calculator'!R13="","",'Work Calculator'!R13)</f>
        <v>0.4375</v>
      </c>
      <c r="N14" s="66">
        <f>IF('Work Calculator'!S13="","",'Work Calculator'!S13)</f>
        <v>0.60416666666666663</v>
      </c>
      <c r="O14" s="67">
        <f t="shared" si="1"/>
        <v>3.9999999999999991</v>
      </c>
      <c r="P14" s="68">
        <f t="shared" si="9"/>
        <v>3.9999999999999991</v>
      </c>
      <c r="Q14" s="67">
        <f t="shared" si="10"/>
        <v>0</v>
      </c>
      <c r="R14" s="68">
        <f t="shared" si="12"/>
        <v>0</v>
      </c>
      <c r="T14" s="166">
        <f t="shared" si="3"/>
        <v>1.5</v>
      </c>
      <c r="U14" s="62"/>
    </row>
    <row r="15" spans="1:22" ht="19.95" customHeight="1" x14ac:dyDescent="0.3">
      <c r="A15" s="43">
        <f>('Work Calculator'!A14)</f>
        <v>44827</v>
      </c>
      <c r="B15" s="7" t="str">
        <f>('Work Calculator'!B14)</f>
        <v>Friday</v>
      </c>
      <c r="C15" s="61">
        <f>IF('Work Calculator'!N14="","",'Work Calculator'!N14)</f>
        <v>0.27083333333333331</v>
      </c>
      <c r="D15" s="61">
        <f>IF('Work Calculator'!O14="","",'Work Calculator'!O14)</f>
        <v>0.39583333333333331</v>
      </c>
      <c r="E15" s="62">
        <f t="shared" si="4"/>
        <v>3</v>
      </c>
      <c r="F15" s="63">
        <f t="shared" si="5"/>
        <v>2.4999999999999991</v>
      </c>
      <c r="G15" s="62">
        <f t="shared" si="6"/>
        <v>0.50000000000000089</v>
      </c>
      <c r="H15" s="62">
        <f t="shared" si="7"/>
        <v>0.5</v>
      </c>
      <c r="I15" s="155"/>
      <c r="J15" s="67">
        <f t="shared" si="8"/>
        <v>3</v>
      </c>
      <c r="K15" s="62">
        <f t="shared" si="11"/>
        <v>3</v>
      </c>
      <c r="L15" s="39"/>
      <c r="M15" s="64">
        <f>IF('Work Calculator'!R14="","",'Work Calculator'!R14)</f>
        <v>0.4375</v>
      </c>
      <c r="N15" s="64">
        <f>IF('Work Calculator'!S14="","",'Work Calculator'!S14)</f>
        <v>0.60416666666666663</v>
      </c>
      <c r="O15" s="57">
        <f t="shared" si="1"/>
        <v>3.9999999999999991</v>
      </c>
      <c r="P15" s="65">
        <f t="shared" si="9"/>
        <v>3.9999999999999991</v>
      </c>
      <c r="Q15" s="57">
        <f t="shared" si="10"/>
        <v>0</v>
      </c>
      <c r="R15" s="65">
        <f t="shared" si="12"/>
        <v>0</v>
      </c>
      <c r="T15" s="166">
        <f t="shared" si="3"/>
        <v>0.5</v>
      </c>
      <c r="U15" s="62"/>
    </row>
    <row r="16" spans="1:22" ht="19.95" customHeight="1" x14ac:dyDescent="0.3">
      <c r="A16" s="14">
        <f>('Work Calculator'!A15)</f>
        <v>44828</v>
      </c>
      <c r="B16" s="3" t="str">
        <f>('Work Calculator'!B15)</f>
        <v>Saturday</v>
      </c>
      <c r="C16" s="66">
        <f>IF('Work Calculator'!N15="","",'Work Calculator'!N15)</f>
        <v>0.3125</v>
      </c>
      <c r="D16" s="66">
        <f>IF('Work Calculator'!O15="","",'Work Calculator'!O15)</f>
        <v>0.39583333333333331</v>
      </c>
      <c r="E16" s="67">
        <f t="shared" si="4"/>
        <v>1.9999999999999996</v>
      </c>
      <c r="F16" s="68">
        <f t="shared" si="5"/>
        <v>1.9999999999999996</v>
      </c>
      <c r="G16" s="67">
        <f t="shared" si="6"/>
        <v>0</v>
      </c>
      <c r="H16" s="67">
        <f t="shared" si="7"/>
        <v>0</v>
      </c>
      <c r="I16" s="155"/>
      <c r="J16" s="67">
        <f t="shared" si="8"/>
        <v>1.9999999999999996</v>
      </c>
      <c r="K16" s="62">
        <f t="shared" si="11"/>
        <v>2</v>
      </c>
      <c r="L16" s="39"/>
      <c r="M16" s="66">
        <f>IF('Work Calculator'!R15="","",'Work Calculator'!R15)</f>
        <v>0.4375</v>
      </c>
      <c r="N16" s="66">
        <f>IF('Work Calculator'!S15="","",'Work Calculator'!S15)</f>
        <v>0.60416666666666663</v>
      </c>
      <c r="O16" s="67">
        <f t="shared" si="1"/>
        <v>3.9999999999999991</v>
      </c>
      <c r="P16" s="68">
        <f t="shared" si="9"/>
        <v>3.9999999999999991</v>
      </c>
      <c r="Q16" s="67">
        <f t="shared" si="10"/>
        <v>0</v>
      </c>
      <c r="R16" s="68">
        <f t="shared" si="12"/>
        <v>0</v>
      </c>
      <c r="T16" s="166">
        <f t="shared" si="3"/>
        <v>0</v>
      </c>
      <c r="U16" s="62"/>
    </row>
    <row r="17" spans="1:21" ht="19.95" customHeight="1" x14ac:dyDescent="0.3">
      <c r="A17" s="41"/>
      <c r="B17" s="7"/>
      <c r="C17" s="24"/>
      <c r="D17" s="24"/>
      <c r="E17" s="24"/>
      <c r="F17" s="42" t="s">
        <v>46</v>
      </c>
      <c r="G17" s="49">
        <f>SUM(G10:G16)</f>
        <v>12</v>
      </c>
      <c r="H17" s="49">
        <f>SUM(H10:H16)</f>
        <v>12</v>
      </c>
      <c r="I17" s="49"/>
      <c r="J17" s="49"/>
      <c r="K17" s="49"/>
      <c r="L17" s="24"/>
      <c r="M17" s="24"/>
      <c r="N17" s="24"/>
      <c r="O17" s="24"/>
      <c r="P17" s="42" t="s">
        <v>47</v>
      </c>
      <c r="Q17" s="49">
        <f>SUM(Q10:Q16)</f>
        <v>0</v>
      </c>
      <c r="R17" s="49">
        <f>SUM(R10:R16)</f>
        <v>0</v>
      </c>
      <c r="T17" s="24">
        <f t="shared" si="3"/>
        <v>12</v>
      </c>
    </row>
    <row r="18" spans="1:21" ht="4.95" customHeight="1" thickBot="1" x14ac:dyDescent="0.35">
      <c r="A18" s="30"/>
      <c r="B18" s="31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71"/>
    </row>
    <row r="19" spans="1:21" ht="4.95" customHeight="1" thickTop="1" x14ac:dyDescent="0.3">
      <c r="A19" s="16"/>
      <c r="B19" s="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</row>
    <row r="20" spans="1:21" ht="19.95" customHeight="1" x14ac:dyDescent="0.3">
      <c r="A20" s="53" t="s">
        <v>20</v>
      </c>
      <c r="B20" s="51"/>
      <c r="C20" s="52"/>
      <c r="D20" s="52"/>
      <c r="E20" s="52"/>
      <c r="F20" s="52"/>
      <c r="G20" s="52"/>
      <c r="H20" s="52"/>
      <c r="I20" s="81"/>
      <c r="J20" s="52"/>
      <c r="K20" s="52"/>
      <c r="L20" s="81"/>
      <c r="M20" s="52"/>
      <c r="N20" s="52"/>
      <c r="O20" s="52"/>
      <c r="P20" s="52"/>
      <c r="Q20" s="52"/>
      <c r="R20" s="70"/>
    </row>
    <row r="21" spans="1:21" ht="4.95" customHeight="1" x14ac:dyDescent="0.3">
      <c r="A21" s="16"/>
      <c r="B21" s="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</row>
    <row r="22" spans="1:21" ht="19.95" customHeight="1" x14ac:dyDescent="0.3">
      <c r="A22" s="26">
        <f>('Work Calculator'!A21)</f>
        <v>44829</v>
      </c>
      <c r="B22" s="15" t="str">
        <f>('Work Calculator'!B21)</f>
        <v>Sunday</v>
      </c>
      <c r="C22" s="58">
        <f>IF('Work Calculator'!N21="","",'Work Calculator'!N21)</f>
        <v>0</v>
      </c>
      <c r="D22" s="58">
        <f>IF('Work Calculator'!O21="","",'Work Calculator'!O21)</f>
        <v>0</v>
      </c>
      <c r="E22" s="59">
        <f t="shared" ref="E22:E28" si="13">IF(C22="","",24*MOD(D22-C22,1))</f>
        <v>0</v>
      </c>
      <c r="F22" s="60">
        <f t="shared" ref="F22:F28" si="14">IF(C22="","",24*(MAX(MIN(D22+(D22&lt;C22),TIME(20,0,0))-MAX(C22,TIME(7,0,0)),0)+IF(D22&lt;C22,MAX(D22-TIME(7,0,0),0),0)))</f>
        <v>0</v>
      </c>
      <c r="G22" s="59">
        <f>IF(C22="","",E22-F22)*0</f>
        <v>0</v>
      </c>
      <c r="H22" s="59">
        <f t="shared" ref="H22:H28" si="15">CEILING($G22,0.25)</f>
        <v>0</v>
      </c>
      <c r="I22" s="155"/>
      <c r="J22" s="59">
        <v>0</v>
      </c>
      <c r="K22" s="59"/>
      <c r="L22" s="39"/>
      <c r="M22" s="58">
        <f>IF('Work Calculator'!R21="","",'Work Calculator'!R21)</f>
        <v>0</v>
      </c>
      <c r="N22" s="58">
        <f>IF('Work Calculator'!S21="","",'Work Calculator'!S21)</f>
        <v>0</v>
      </c>
      <c r="O22" s="59">
        <f t="shared" ref="O22:O28" si="16">IF(M22="","",24*MOD(N22-M22,1))</f>
        <v>0</v>
      </c>
      <c r="P22" s="60">
        <f t="shared" ref="P22:P28" si="17">IF(M22="","",24*(MAX(MIN(N22+(N22&lt;M22),TIME(20,0,0))-MAX(M22,TIME(7,0,0)),0)+IF(N22&lt;M22,MAX(N22-TIME(7,0,0),0),0)))</f>
        <v>0</v>
      </c>
      <c r="Q22" s="59">
        <f>IF(M22="","",O22-P22)*0</f>
        <v>0</v>
      </c>
      <c r="R22" s="60">
        <f t="shared" ref="R22:R28" si="18">CEILING($Q22,0.25)</f>
        <v>0</v>
      </c>
      <c r="T22" s="166">
        <f t="shared" ref="T22:T29" si="19">SUM(H22+R22)</f>
        <v>0</v>
      </c>
      <c r="U22" s="62"/>
    </row>
    <row r="23" spans="1:21" ht="19.95" customHeight="1" x14ac:dyDescent="0.3">
      <c r="A23" s="43">
        <f>('Work Calculator'!A22)</f>
        <v>44830</v>
      </c>
      <c r="B23" s="7" t="str">
        <f>('Work Calculator'!B22)</f>
        <v>Monday</v>
      </c>
      <c r="C23" s="61">
        <f>IF('Work Calculator'!N22="","",'Work Calculator'!N22)</f>
        <v>0.6875</v>
      </c>
      <c r="D23" s="61">
        <f>IF('Work Calculator'!O22="","",'Work Calculator'!O22)</f>
        <v>0.85416666666666663</v>
      </c>
      <c r="E23" s="62">
        <f t="shared" si="13"/>
        <v>3.9999999999999991</v>
      </c>
      <c r="F23" s="63">
        <f t="shared" si="14"/>
        <v>3.5000000000000009</v>
      </c>
      <c r="G23" s="62">
        <f t="shared" ref="G23:G28" si="20">IF(C23="","",E23-F23)</f>
        <v>0.49999999999999822</v>
      </c>
      <c r="H23" s="62">
        <f t="shared" si="15"/>
        <v>0.5</v>
      </c>
      <c r="I23" s="155"/>
      <c r="J23" s="62">
        <f t="shared" ref="J23:J28" si="21">SUM(E23)</f>
        <v>3.9999999999999991</v>
      </c>
      <c r="K23" s="62">
        <f t="shared" ref="K23:K28" si="22">CEILING(J23,0.25)</f>
        <v>4</v>
      </c>
      <c r="L23" s="39"/>
      <c r="M23" s="64">
        <f>IF('Work Calculator'!R22="","",'Work Calculator'!R22)</f>
        <v>0.89583333333333337</v>
      </c>
      <c r="N23" s="64">
        <f>IF('Work Calculator'!S22="","",'Work Calculator'!S22)</f>
        <v>0.29097222222222224</v>
      </c>
      <c r="O23" s="57">
        <f t="shared" si="16"/>
        <v>9.4833333333333343</v>
      </c>
      <c r="P23" s="65">
        <f t="shared" si="17"/>
        <v>0</v>
      </c>
      <c r="Q23" s="57">
        <f t="shared" ref="Q23:Q28" si="23">IF(M23="","",O23-P23)</f>
        <v>9.4833333333333343</v>
      </c>
      <c r="R23" s="65">
        <f t="shared" si="18"/>
        <v>9.5</v>
      </c>
      <c r="T23" s="166">
        <f t="shared" si="19"/>
        <v>10</v>
      </c>
      <c r="U23" s="62"/>
    </row>
    <row r="24" spans="1:21" ht="19.95" customHeight="1" x14ac:dyDescent="0.3">
      <c r="A24" s="14">
        <f>('Work Calculator'!A23)</f>
        <v>44831</v>
      </c>
      <c r="B24" s="3" t="str">
        <f>('Work Calculator'!B23)</f>
        <v>Tuesday</v>
      </c>
      <c r="C24" s="66">
        <f>IF('Work Calculator'!N23="","",'Work Calculator'!N23)</f>
        <v>0.67708333333333337</v>
      </c>
      <c r="D24" s="66">
        <f>IF('Work Calculator'!O23="","",'Work Calculator'!O23)</f>
        <v>0.84375</v>
      </c>
      <c r="E24" s="67">
        <f t="shared" si="13"/>
        <v>3.9999999999999991</v>
      </c>
      <c r="F24" s="68">
        <f>IF(C24="","",24*(MAX(MIN(D24+(D24&lt;C24),TIME(20,0,0))-MAX(C24,TIME(7,0,0)),0)+IF(D24&lt;C24,MAX(D24-TIME(7,0,0),0),0)))</f>
        <v>3.75</v>
      </c>
      <c r="G24" s="67">
        <f t="shared" si="20"/>
        <v>0.24999999999999911</v>
      </c>
      <c r="H24" s="67">
        <f t="shared" si="15"/>
        <v>0.25</v>
      </c>
      <c r="I24" s="155"/>
      <c r="J24" s="67">
        <f t="shared" si="21"/>
        <v>3.9999999999999991</v>
      </c>
      <c r="K24" s="62">
        <f t="shared" si="22"/>
        <v>4</v>
      </c>
      <c r="L24" s="39"/>
      <c r="M24" s="66">
        <f>IF('Work Calculator'!R23="","",'Work Calculator'!R23)</f>
        <v>0.875</v>
      </c>
      <c r="N24" s="66">
        <f>IF('Work Calculator'!S23="","",'Work Calculator'!S23)</f>
        <v>4.1666666666666664E-2</v>
      </c>
      <c r="O24" s="67">
        <f t="shared" si="16"/>
        <v>3.9999999999999991</v>
      </c>
      <c r="P24" s="68">
        <f t="shared" si="17"/>
        <v>0</v>
      </c>
      <c r="Q24" s="67">
        <f t="shared" si="23"/>
        <v>3.9999999999999991</v>
      </c>
      <c r="R24" s="68">
        <f t="shared" si="18"/>
        <v>4</v>
      </c>
      <c r="T24" s="166">
        <f t="shared" si="19"/>
        <v>4.25</v>
      </c>
      <c r="U24" s="62"/>
    </row>
    <row r="25" spans="1:21" ht="19.95" customHeight="1" x14ac:dyDescent="0.3">
      <c r="A25" s="43">
        <f>('Work Calculator'!A24)</f>
        <v>44832</v>
      </c>
      <c r="B25" s="7" t="str">
        <f>('Work Calculator'!B24)</f>
        <v>Wednesday</v>
      </c>
      <c r="C25" s="61">
        <f>IF('Work Calculator'!N24="","",'Work Calculator'!N24)</f>
        <v>0</v>
      </c>
      <c r="D25" s="61">
        <f>IF('Work Calculator'!O24="","",'Work Calculator'!O24)</f>
        <v>0</v>
      </c>
      <c r="E25" s="62">
        <f t="shared" si="13"/>
        <v>0</v>
      </c>
      <c r="F25" s="63">
        <f t="shared" si="14"/>
        <v>0</v>
      </c>
      <c r="G25" s="62">
        <f t="shared" si="20"/>
        <v>0</v>
      </c>
      <c r="H25" s="62">
        <f t="shared" si="15"/>
        <v>0</v>
      </c>
      <c r="I25" s="155"/>
      <c r="J25" s="62">
        <f t="shared" si="21"/>
        <v>0</v>
      </c>
      <c r="K25" s="62">
        <f t="shared" si="22"/>
        <v>0</v>
      </c>
      <c r="L25" s="39"/>
      <c r="M25" s="64">
        <f>IF('Work Calculator'!R24="","",'Work Calculator'!R24)</f>
        <v>0</v>
      </c>
      <c r="N25" s="64">
        <f>IF('Work Calculator'!S24="","",'Work Calculator'!S24)</f>
        <v>0</v>
      </c>
      <c r="O25" s="57">
        <f t="shared" si="16"/>
        <v>0</v>
      </c>
      <c r="P25" s="65">
        <f t="shared" si="17"/>
        <v>0</v>
      </c>
      <c r="Q25" s="57">
        <f t="shared" si="23"/>
        <v>0</v>
      </c>
      <c r="R25" s="65">
        <f t="shared" si="18"/>
        <v>0</v>
      </c>
      <c r="T25" s="166">
        <f t="shared" si="19"/>
        <v>0</v>
      </c>
      <c r="U25" s="62"/>
    </row>
    <row r="26" spans="1:21" ht="19.95" customHeight="1" x14ac:dyDescent="0.3">
      <c r="A26" s="14">
        <f>('Work Calculator'!A25)</f>
        <v>44833</v>
      </c>
      <c r="B26" s="3" t="str">
        <f>('Work Calculator'!B25)</f>
        <v>Thursday</v>
      </c>
      <c r="C26" s="66">
        <f>IF('Work Calculator'!N25="","",'Work Calculator'!N25)</f>
        <v>0</v>
      </c>
      <c r="D26" s="66">
        <f>IF('Work Calculator'!O25="","",'Work Calculator'!O25)</f>
        <v>0</v>
      </c>
      <c r="E26" s="67">
        <f t="shared" si="13"/>
        <v>0</v>
      </c>
      <c r="F26" s="68">
        <f t="shared" si="14"/>
        <v>0</v>
      </c>
      <c r="G26" s="67">
        <f t="shared" si="20"/>
        <v>0</v>
      </c>
      <c r="H26" s="67">
        <f t="shared" si="15"/>
        <v>0</v>
      </c>
      <c r="I26" s="155"/>
      <c r="J26" s="67">
        <f t="shared" si="21"/>
        <v>0</v>
      </c>
      <c r="K26" s="62">
        <f t="shared" si="22"/>
        <v>0</v>
      </c>
      <c r="L26" s="39"/>
      <c r="M26" s="66">
        <f>IF('Work Calculator'!R25="","",'Work Calculator'!R25)</f>
        <v>0</v>
      </c>
      <c r="N26" s="66">
        <f>IF('Work Calculator'!S25="","",'Work Calculator'!S25)</f>
        <v>0</v>
      </c>
      <c r="O26" s="67">
        <f t="shared" si="16"/>
        <v>0</v>
      </c>
      <c r="P26" s="68">
        <f t="shared" si="17"/>
        <v>0</v>
      </c>
      <c r="Q26" s="67">
        <f t="shared" si="23"/>
        <v>0</v>
      </c>
      <c r="R26" s="68">
        <f t="shared" si="18"/>
        <v>0</v>
      </c>
      <c r="T26" s="166">
        <f t="shared" si="19"/>
        <v>0</v>
      </c>
      <c r="U26" s="62"/>
    </row>
    <row r="27" spans="1:21" ht="19.95" customHeight="1" x14ac:dyDescent="0.3">
      <c r="A27" s="43">
        <f>('Work Calculator'!A26)</f>
        <v>44834</v>
      </c>
      <c r="B27" s="7" t="str">
        <f>('Work Calculator'!B26)</f>
        <v>Friday</v>
      </c>
      <c r="C27" s="61">
        <f>IF('Work Calculator'!N26="","",'Work Calculator'!N26)</f>
        <v>0</v>
      </c>
      <c r="D27" s="61">
        <f>IF('Work Calculator'!O26="","",'Work Calculator'!O26)</f>
        <v>0</v>
      </c>
      <c r="E27" s="62">
        <f t="shared" si="13"/>
        <v>0</v>
      </c>
      <c r="F27" s="63">
        <f t="shared" si="14"/>
        <v>0</v>
      </c>
      <c r="G27" s="62">
        <f t="shared" si="20"/>
        <v>0</v>
      </c>
      <c r="H27" s="62">
        <f t="shared" si="15"/>
        <v>0</v>
      </c>
      <c r="I27" s="155"/>
      <c r="J27" s="62">
        <f t="shared" si="21"/>
        <v>0</v>
      </c>
      <c r="K27" s="62">
        <f t="shared" si="22"/>
        <v>0</v>
      </c>
      <c r="L27" s="39"/>
      <c r="M27" s="64">
        <f>IF('Work Calculator'!R26="","",'Work Calculator'!R26)</f>
        <v>0</v>
      </c>
      <c r="N27" s="64">
        <f>IF('Work Calculator'!S26="","",'Work Calculator'!S26)</f>
        <v>0</v>
      </c>
      <c r="O27" s="57">
        <f t="shared" si="16"/>
        <v>0</v>
      </c>
      <c r="P27" s="65">
        <f t="shared" si="17"/>
        <v>0</v>
      </c>
      <c r="Q27" s="57">
        <f t="shared" si="23"/>
        <v>0</v>
      </c>
      <c r="R27" s="65">
        <f t="shared" si="18"/>
        <v>0</v>
      </c>
      <c r="T27" s="166">
        <f t="shared" si="19"/>
        <v>0</v>
      </c>
      <c r="U27" s="62"/>
    </row>
    <row r="28" spans="1:21" ht="19.95" customHeight="1" x14ac:dyDescent="0.3">
      <c r="A28" s="14">
        <f>('Work Calculator'!A27)</f>
        <v>44835</v>
      </c>
      <c r="B28" s="3" t="str">
        <f>('Work Calculator'!B27)</f>
        <v>Saturday</v>
      </c>
      <c r="C28" s="66">
        <f>IF('Work Calculator'!N27="","",'Work Calculator'!N27)</f>
        <v>0</v>
      </c>
      <c r="D28" s="66">
        <f>IF('Work Calculator'!O27="","",'Work Calculator'!O27)</f>
        <v>0</v>
      </c>
      <c r="E28" s="67">
        <f t="shared" si="13"/>
        <v>0</v>
      </c>
      <c r="F28" s="68">
        <f t="shared" si="14"/>
        <v>0</v>
      </c>
      <c r="G28" s="67">
        <f t="shared" si="20"/>
        <v>0</v>
      </c>
      <c r="H28" s="67">
        <f t="shared" si="15"/>
        <v>0</v>
      </c>
      <c r="I28" s="155"/>
      <c r="J28" s="67">
        <f t="shared" si="21"/>
        <v>0</v>
      </c>
      <c r="K28" s="62">
        <f t="shared" si="22"/>
        <v>0</v>
      </c>
      <c r="L28" s="39"/>
      <c r="M28" s="66">
        <f>IF('Work Calculator'!R27="","",'Work Calculator'!R27)</f>
        <v>0</v>
      </c>
      <c r="N28" s="66">
        <f>IF('Work Calculator'!S27="","",'Work Calculator'!S27)</f>
        <v>0</v>
      </c>
      <c r="O28" s="67">
        <f t="shared" si="16"/>
        <v>0</v>
      </c>
      <c r="P28" s="68">
        <f t="shared" si="17"/>
        <v>0</v>
      </c>
      <c r="Q28" s="67">
        <f t="shared" si="23"/>
        <v>0</v>
      </c>
      <c r="R28" s="68">
        <f t="shared" si="18"/>
        <v>0</v>
      </c>
      <c r="T28" s="166">
        <f t="shared" si="19"/>
        <v>0</v>
      </c>
      <c r="U28" s="62"/>
    </row>
    <row r="29" spans="1:21" ht="19.95" customHeight="1" x14ac:dyDescent="0.3">
      <c r="A29" s="24"/>
      <c r="B29" s="24"/>
      <c r="C29" s="24"/>
      <c r="D29" s="24"/>
      <c r="E29" s="24"/>
      <c r="F29" s="42" t="s">
        <v>48</v>
      </c>
      <c r="G29" s="49">
        <f>SUM(G22:G28)</f>
        <v>0.74999999999999734</v>
      </c>
      <c r="H29" s="49">
        <f>SUM(H22:H28)</f>
        <v>0.75</v>
      </c>
      <c r="I29" s="49"/>
      <c r="J29" s="49"/>
      <c r="K29" s="49"/>
      <c r="L29" s="24"/>
      <c r="M29" s="24"/>
      <c r="N29" s="24"/>
      <c r="O29" s="24"/>
      <c r="P29" s="42" t="s">
        <v>49</v>
      </c>
      <c r="Q29" s="49">
        <f>SUM(Q22:Q28)</f>
        <v>13.483333333333334</v>
      </c>
      <c r="R29" s="49">
        <f>SUM(R22:R28)</f>
        <v>13.5</v>
      </c>
      <c r="T29" s="24">
        <f t="shared" si="19"/>
        <v>14.25</v>
      </c>
    </row>
    <row r="31" spans="1:21" ht="25.8" x14ac:dyDescent="0.5">
      <c r="A31" s="157" t="s">
        <v>115</v>
      </c>
    </row>
    <row r="32" spans="1:21" x14ac:dyDescent="0.3">
      <c r="A32" s="156" t="s">
        <v>150</v>
      </c>
    </row>
    <row r="34" spans="1:22" ht="19.95" customHeight="1" x14ac:dyDescent="0.3">
      <c r="A34" s="24"/>
      <c r="B34" s="24"/>
      <c r="C34" s="182" t="s">
        <v>45</v>
      </c>
      <c r="D34" s="183"/>
      <c r="E34" s="184"/>
      <c r="F34" s="184"/>
      <c r="G34" s="184"/>
      <c r="H34" s="185"/>
      <c r="I34" s="160"/>
      <c r="J34" s="160"/>
      <c r="K34" s="160"/>
      <c r="L34" s="24"/>
      <c r="M34" s="186" t="s">
        <v>45</v>
      </c>
      <c r="N34" s="187"/>
      <c r="O34" s="188"/>
      <c r="P34" s="188"/>
      <c r="Q34" s="188"/>
      <c r="R34" s="189"/>
    </row>
    <row r="35" spans="1:22" ht="19.95" customHeight="1" x14ac:dyDescent="0.3">
      <c r="A35" s="24"/>
      <c r="B35" s="24"/>
      <c r="C35" s="182" t="s">
        <v>37</v>
      </c>
      <c r="D35" s="184"/>
      <c r="E35" s="184"/>
      <c r="F35" s="184"/>
      <c r="G35" s="184"/>
      <c r="H35" s="185"/>
      <c r="I35" s="160"/>
      <c r="J35" s="160"/>
      <c r="K35" s="160"/>
      <c r="L35" s="24"/>
      <c r="M35" s="186" t="s">
        <v>38</v>
      </c>
      <c r="N35" s="188"/>
      <c r="O35" s="188"/>
      <c r="P35" s="188"/>
      <c r="Q35" s="188"/>
      <c r="R35" s="189"/>
    </row>
    <row r="36" spans="1:22" ht="19.95" customHeight="1" x14ac:dyDescent="0.3">
      <c r="A36" s="24"/>
      <c r="B36" s="24"/>
      <c r="C36" s="46" t="s">
        <v>41</v>
      </c>
      <c r="D36" s="46" t="s">
        <v>42</v>
      </c>
      <c r="E36" s="46" t="s">
        <v>43</v>
      </c>
      <c r="F36" s="46" t="s">
        <v>11</v>
      </c>
      <c r="G36" s="46" t="s">
        <v>44</v>
      </c>
      <c r="H36" s="46" t="s">
        <v>71</v>
      </c>
      <c r="I36" s="48"/>
      <c r="J36" s="46"/>
      <c r="K36" s="46"/>
      <c r="L36" s="35"/>
      <c r="M36" s="47" t="s">
        <v>41</v>
      </c>
      <c r="N36" s="47" t="s">
        <v>42</v>
      </c>
      <c r="O36" s="47" t="s">
        <v>43</v>
      </c>
      <c r="P36" s="47" t="s">
        <v>11</v>
      </c>
      <c r="Q36" s="47" t="s">
        <v>44</v>
      </c>
      <c r="R36" s="47" t="s">
        <v>71</v>
      </c>
    </row>
    <row r="37" spans="1:22" ht="4.95" customHeight="1" x14ac:dyDescent="0.3">
      <c r="A37" s="24"/>
      <c r="B37" s="24"/>
      <c r="C37" s="48"/>
      <c r="D37" s="48"/>
      <c r="E37" s="48"/>
      <c r="F37" s="48"/>
      <c r="G37" s="48"/>
      <c r="H37" s="48"/>
      <c r="I37" s="48"/>
      <c r="J37" s="48"/>
      <c r="K37" s="48"/>
      <c r="L37" s="35"/>
      <c r="M37" s="48"/>
      <c r="N37" s="48"/>
      <c r="O37" s="48"/>
      <c r="P37" s="48"/>
      <c r="Q37" s="48"/>
    </row>
    <row r="38" spans="1:22" ht="19.95" customHeight="1" x14ac:dyDescent="0.3">
      <c r="A38" s="54" t="s">
        <v>19</v>
      </c>
      <c r="B38" s="55"/>
      <c r="C38" s="56"/>
      <c r="D38" s="56"/>
      <c r="E38" s="56"/>
      <c r="F38" s="56"/>
      <c r="G38" s="56"/>
      <c r="H38" s="56"/>
      <c r="I38" s="161"/>
      <c r="J38" s="56"/>
      <c r="K38" s="56"/>
      <c r="L38" s="80"/>
      <c r="M38" s="56"/>
      <c r="N38" s="56"/>
      <c r="O38" s="56"/>
      <c r="P38" s="56"/>
      <c r="Q38" s="56"/>
      <c r="R38" s="69"/>
    </row>
    <row r="39" spans="1:22" ht="4.95" customHeight="1" x14ac:dyDescent="0.3">
      <c r="A39" s="13"/>
      <c r="B39" s="13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</row>
    <row r="40" spans="1:22" ht="19.95" customHeight="1" x14ac:dyDescent="0.3">
      <c r="A40" s="26">
        <f>('Work Calculator'!A9)</f>
        <v>44822</v>
      </c>
      <c r="B40" s="15" t="str">
        <f>('Work Calculator'!B9)</f>
        <v>Sunday</v>
      </c>
      <c r="C40" s="58">
        <f>IF('Work Calculator'!N9="","",'Work Calculator'!N9)</f>
        <v>0</v>
      </c>
      <c r="D40" s="58">
        <f>IF('Work Calculator'!O9="","",'Work Calculator'!O9)</f>
        <v>0</v>
      </c>
      <c r="E40" s="59">
        <f>IF(C40="","",24*MOD(D40-C40,1))</f>
        <v>0</v>
      </c>
      <c r="F40" s="60">
        <f>IF(C40="","",24*(MAX(MIN(D40+(D40&lt;C40),TIME(20,0,0))-MAX(C40,TIME(7,0,0)),0)+IF(D40&lt;C40,MAX(D40-TIME(7,0,0),0),0)))</f>
        <v>0</v>
      </c>
      <c r="G40" s="59">
        <f>IF(C40="","",E40-F40)*0</f>
        <v>0</v>
      </c>
      <c r="H40" s="59">
        <f>CEILING($G40,0.25)</f>
        <v>0</v>
      </c>
      <c r="I40" s="155"/>
      <c r="J40" s="59"/>
      <c r="K40" s="59"/>
      <c r="L40" s="39"/>
      <c r="M40" s="58">
        <f>IF('Work Calculator'!R9="","",'Work Calculator'!R9)</f>
        <v>0</v>
      </c>
      <c r="N40" s="58">
        <f>IF('Work Calculator'!S9="","",'Work Calculator'!S9)</f>
        <v>0</v>
      </c>
      <c r="O40" s="59">
        <f t="shared" ref="O40:O46" si="24">IF(M40="","",24*MOD(N40-M40,1))</f>
        <v>0</v>
      </c>
      <c r="P40" s="60">
        <f>IF(M40="","",24*(MAX(MIN(N40+(N40&lt;M40),TIME(20,0,0))-MAX(M40,TIME(7,0,0)),0)+IF(N40&lt;M40,MAX(N40-TIME(7,0,0),0),0)))</f>
        <v>0</v>
      </c>
      <c r="Q40" s="59">
        <f t="shared" ref="Q40:Q46" si="25">IF(M40="","",O40-P40)</f>
        <v>0</v>
      </c>
      <c r="R40" s="60">
        <f>CEILING($Q40,0.25)</f>
        <v>0</v>
      </c>
    </row>
    <row r="41" spans="1:22" ht="19.95" customHeight="1" x14ac:dyDescent="0.3">
      <c r="A41" s="43">
        <f>('Work Calculator'!A10)</f>
        <v>44823</v>
      </c>
      <c r="B41" s="7" t="str">
        <f>('Work Calculator'!B10)</f>
        <v>Monday</v>
      </c>
      <c r="C41" s="61">
        <f>IF('Work Calculator'!N10="","",'Work Calculator'!N10)</f>
        <v>0.10416666666666667</v>
      </c>
      <c r="D41" s="61">
        <f>IF('Work Calculator'!O10="","",'Work Calculator'!O10)</f>
        <v>0.27083333333333331</v>
      </c>
      <c r="E41" s="62">
        <f t="shared" ref="E41:E46" si="26">IF(C41="","",24*MOD(D41-C41,1))</f>
        <v>3.9999999999999991</v>
      </c>
      <c r="F41" s="63">
        <f t="shared" ref="F41:F46" si="27">IF(C41="","",24*(MAX(MIN(D41+(D41&lt;C41),TIME(20,0,0))-MAX(C41,TIME(7,0,0)),0)+IF(D41&lt;C41,MAX(D41-TIME(7,0,0),0),0)))</f>
        <v>0</v>
      </c>
      <c r="G41" s="62">
        <f t="shared" ref="G41:G46" si="28">IF(C41="","",E41-F41)</f>
        <v>3.9999999999999991</v>
      </c>
      <c r="H41" s="62">
        <f t="shared" ref="H41:H46" si="29">CEILING($G41,0.25)</f>
        <v>4</v>
      </c>
      <c r="I41" s="155"/>
      <c r="J41" s="62"/>
      <c r="K41" s="62"/>
      <c r="L41" s="39"/>
      <c r="M41" s="64">
        <f>IF('Work Calculator'!R10="","",'Work Calculator'!R10)</f>
        <v>0.3125</v>
      </c>
      <c r="N41" s="64">
        <f>IF('Work Calculator'!S10="","",'Work Calculator'!S10)</f>
        <v>0.47916666666666669</v>
      </c>
      <c r="O41" s="57">
        <f t="shared" si="24"/>
        <v>4</v>
      </c>
      <c r="P41" s="65">
        <f>IF(M41="","",24*(MAX(MIN(N41+(N41&lt;C41),TIME(20,0,0))-MAX(C41,TIME(7,0,0)),0)+IF(N41&lt;M41,MAX(N41-TIME(7,0,0),0),0)))</f>
        <v>4.5</v>
      </c>
      <c r="Q41" s="57">
        <f t="shared" si="25"/>
        <v>-0.5</v>
      </c>
      <c r="R41" s="65">
        <f>CEILING($Q41,0.25)</f>
        <v>-0.5</v>
      </c>
      <c r="V41" s="158" t="s">
        <v>116</v>
      </c>
    </row>
    <row r="42" spans="1:22" ht="19.95" customHeight="1" x14ac:dyDescent="0.3">
      <c r="A42" s="14">
        <f>('Work Calculator'!A11)</f>
        <v>44824</v>
      </c>
      <c r="B42" s="3" t="str">
        <f>('Work Calculator'!B11)</f>
        <v>Tuesday</v>
      </c>
      <c r="C42" s="66">
        <f>IF('Work Calculator'!N11="","",'Work Calculator'!N11)</f>
        <v>0.14583333333333334</v>
      </c>
      <c r="D42" s="66">
        <f>IF('Work Calculator'!O11="","",'Work Calculator'!O11)</f>
        <v>0.3125</v>
      </c>
      <c r="E42" s="67">
        <f t="shared" si="26"/>
        <v>4</v>
      </c>
      <c r="F42" s="68">
        <f>IF(C42="","",24*(MAX(MIN(D42+(D42&lt;C42),TIME(19.992,0,0))-MAX(C42,TIME(7,0,0)),0)+IF(D42&lt;C42,MAX(D42-TIME(7,0,0),0),0)))</f>
        <v>0.49999999999999956</v>
      </c>
      <c r="G42" s="67">
        <f t="shared" si="28"/>
        <v>3.5000000000000004</v>
      </c>
      <c r="H42" s="67">
        <f t="shared" si="29"/>
        <v>3.5</v>
      </c>
      <c r="I42" s="155"/>
      <c r="J42" s="67"/>
      <c r="K42" s="67"/>
      <c r="L42" s="155"/>
      <c r="M42" s="66">
        <f>IF('Work Calculator'!R11="","",'Work Calculator'!R11)</f>
        <v>0.35416666666666669</v>
      </c>
      <c r="N42" s="66">
        <f>IF('Work Calculator'!S11="","",'Work Calculator'!S11)</f>
        <v>0.52083333333333337</v>
      </c>
      <c r="O42" s="67">
        <f t="shared" si="24"/>
        <v>4</v>
      </c>
      <c r="P42" s="68">
        <f>IF(M42="","",24*(MAX(MIN(N42+(N42&lt;M42),TIME(20,0,0))-MAX(M42,TIME(7,0,0)),0)+IF(N42&lt;M42,MAX(N42-TIME(7,0,0),0),0)))</f>
        <v>4</v>
      </c>
      <c r="Q42" s="67">
        <f t="shared" si="25"/>
        <v>0</v>
      </c>
      <c r="R42" s="82">
        <f t="shared" ref="R42:R46" si="30">CEILING($Q42,0.25)</f>
        <v>0</v>
      </c>
    </row>
    <row r="43" spans="1:22" ht="19.95" customHeight="1" x14ac:dyDescent="0.3">
      <c r="A43" s="43">
        <f>('Work Calculator'!A12)</f>
        <v>44825</v>
      </c>
      <c r="B43" s="7" t="str">
        <f>('Work Calculator'!B12)</f>
        <v>Wednesday</v>
      </c>
      <c r="C43" s="61">
        <f>IF('Work Calculator'!N12="","",'Work Calculator'!N12)</f>
        <v>0.1875</v>
      </c>
      <c r="D43" s="61">
        <f>IF('Work Calculator'!O12="","",'Work Calculator'!O12)</f>
        <v>0.35416666666666669</v>
      </c>
      <c r="E43" s="62">
        <f t="shared" si="26"/>
        <v>4</v>
      </c>
      <c r="F43" s="63">
        <f t="shared" si="27"/>
        <v>1.5</v>
      </c>
      <c r="G43" s="62">
        <f t="shared" si="28"/>
        <v>2.5</v>
      </c>
      <c r="H43" s="62">
        <f t="shared" si="29"/>
        <v>2.5</v>
      </c>
      <c r="I43" s="155"/>
      <c r="J43" s="62"/>
      <c r="K43" s="62"/>
      <c r="L43" s="155"/>
      <c r="M43" s="64">
        <f>IF('Work Calculator'!R12="","",'Work Calculator'!R12)</f>
        <v>0.39583333333333331</v>
      </c>
      <c r="N43" s="64">
        <f>IF('Work Calculator'!S12="","",'Work Calculator'!S12)</f>
        <v>0.5625</v>
      </c>
      <c r="O43" s="57">
        <f t="shared" si="24"/>
        <v>4</v>
      </c>
      <c r="P43" s="65">
        <f>IF(M43="","",24*(MAX(MIN(N43+(N43&lt;M43),TIME(20,0,0))-MAX(M43,TIME(7,0,0)),0)+IF(N43&lt;M43,MAX(N43-TIME(7,0,0),0),0)))</f>
        <v>4</v>
      </c>
      <c r="Q43" s="57">
        <f t="shared" si="25"/>
        <v>0</v>
      </c>
      <c r="R43" s="65">
        <f t="shared" si="30"/>
        <v>0</v>
      </c>
    </row>
    <row r="44" spans="1:22" ht="19.95" customHeight="1" x14ac:dyDescent="0.3">
      <c r="A44" s="14">
        <f>('Work Calculator'!A13)</f>
        <v>44826</v>
      </c>
      <c r="B44" s="3" t="str">
        <f>('Work Calculator'!B13)</f>
        <v>Thursday</v>
      </c>
      <c r="C44" s="66">
        <f>IF('Work Calculator'!N13="","",'Work Calculator'!N13)</f>
        <v>0.22916666666666666</v>
      </c>
      <c r="D44" s="66">
        <f>IF('Work Calculator'!O13="","",'Work Calculator'!O13)</f>
        <v>0.39583333333333331</v>
      </c>
      <c r="E44" s="67">
        <f t="shared" si="26"/>
        <v>4</v>
      </c>
      <c r="F44" s="68">
        <f t="shared" si="27"/>
        <v>2.4999999999999991</v>
      </c>
      <c r="G44" s="67">
        <f t="shared" si="28"/>
        <v>1.5000000000000009</v>
      </c>
      <c r="H44" s="67">
        <f t="shared" si="29"/>
        <v>1.5</v>
      </c>
      <c r="I44" s="155"/>
      <c r="J44" s="67"/>
      <c r="K44" s="67"/>
      <c r="L44" s="39"/>
      <c r="M44" s="66">
        <f>IF('Work Calculator'!R13="","",'Work Calculator'!R13)</f>
        <v>0.4375</v>
      </c>
      <c r="N44" s="66">
        <f>IF('Work Calculator'!S13="","",'Work Calculator'!S13)</f>
        <v>0.60416666666666663</v>
      </c>
      <c r="O44" s="67">
        <f t="shared" si="24"/>
        <v>3.9999999999999991</v>
      </c>
      <c r="P44" s="68">
        <f>IF(M44="","",24*(MAX(MIN(N44+(N44&lt;M44),TIME(20,0,0))-MAX(M44,TIME(7,0,0)),0)+IF(N44&lt;M44,MAX(N44-TIME(7,0,0),0),0)))</f>
        <v>3.9999999999999991</v>
      </c>
      <c r="Q44" s="67">
        <f t="shared" si="25"/>
        <v>0</v>
      </c>
      <c r="R44" s="68">
        <f t="shared" si="30"/>
        <v>0</v>
      </c>
    </row>
    <row r="45" spans="1:22" ht="19.95" customHeight="1" x14ac:dyDescent="0.3">
      <c r="A45" s="43">
        <f>('Work Calculator'!A14)</f>
        <v>44827</v>
      </c>
      <c r="B45" s="7" t="str">
        <f>('Work Calculator'!B14)</f>
        <v>Friday</v>
      </c>
      <c r="C45" s="61">
        <f>IF('Work Calculator'!N14="","",'Work Calculator'!N14)</f>
        <v>0.27083333333333331</v>
      </c>
      <c r="D45" s="61">
        <f>IF('Work Calculator'!O14="","",'Work Calculator'!O14)</f>
        <v>0.39583333333333331</v>
      </c>
      <c r="E45" s="62">
        <f t="shared" si="26"/>
        <v>3</v>
      </c>
      <c r="F45" s="63">
        <f t="shared" si="27"/>
        <v>2.4999999999999991</v>
      </c>
      <c r="G45" s="62">
        <f t="shared" si="28"/>
        <v>0.50000000000000089</v>
      </c>
      <c r="H45" s="62">
        <f t="shared" si="29"/>
        <v>0.5</v>
      </c>
      <c r="I45" s="155"/>
      <c r="J45" s="62"/>
      <c r="K45" s="62"/>
      <c r="L45" s="39"/>
      <c r="M45" s="64">
        <f>IF('Work Calculator'!R14="","",'Work Calculator'!R14)</f>
        <v>0.4375</v>
      </c>
      <c r="N45" s="64">
        <f>IF('Work Calculator'!S14="","",'Work Calculator'!S14)</f>
        <v>0.60416666666666663</v>
      </c>
      <c r="O45" s="57">
        <f t="shared" si="24"/>
        <v>3.9999999999999991</v>
      </c>
      <c r="P45" s="65">
        <f>IF(M45="","",24*(MAX(MIN(N45+(N45&lt;M45),TIME(20,0,0))-MAX(M45,TIME(7,0,0)),0)+IF(N45&lt;M45,MAX(N45-TIME(7,0,0),0),0)))</f>
        <v>3.9999999999999991</v>
      </c>
      <c r="Q45" s="57">
        <f t="shared" si="25"/>
        <v>0</v>
      </c>
      <c r="R45" s="65">
        <f t="shared" si="30"/>
        <v>0</v>
      </c>
    </row>
    <row r="46" spans="1:22" ht="19.95" customHeight="1" x14ac:dyDescent="0.3">
      <c r="A46" s="14">
        <f>('Work Calculator'!A15)</f>
        <v>44828</v>
      </c>
      <c r="B46" s="3" t="str">
        <f>('Work Calculator'!B15)</f>
        <v>Saturday</v>
      </c>
      <c r="C46" s="66">
        <f>IF('Work Calculator'!N15="","",'Work Calculator'!N15)</f>
        <v>0.3125</v>
      </c>
      <c r="D46" s="66">
        <f>IF('Work Calculator'!O15="","",'Work Calculator'!O15)</f>
        <v>0.39583333333333331</v>
      </c>
      <c r="E46" s="67">
        <f t="shared" si="26"/>
        <v>1.9999999999999996</v>
      </c>
      <c r="F46" s="68">
        <f t="shared" si="27"/>
        <v>1.9999999999999996</v>
      </c>
      <c r="G46" s="67">
        <f t="shared" si="28"/>
        <v>0</v>
      </c>
      <c r="H46" s="67">
        <f t="shared" si="29"/>
        <v>0</v>
      </c>
      <c r="I46" s="155"/>
      <c r="J46" s="67"/>
      <c r="K46" s="67"/>
      <c r="L46" s="39"/>
      <c r="M46" s="66">
        <f>IF('Work Calculator'!R15="","",'Work Calculator'!R15)</f>
        <v>0.4375</v>
      </c>
      <c r="N46" s="66">
        <f>IF('Work Calculator'!S15="","",'Work Calculator'!S15)</f>
        <v>0.60416666666666663</v>
      </c>
      <c r="O46" s="67">
        <f t="shared" si="24"/>
        <v>3.9999999999999991</v>
      </c>
      <c r="P46" s="68">
        <f>IF(M46="","",24*(MAX(MIN(N46+(N46&lt;M46),TIME(19.99,0,0))-MAX(M46,TIME(7,0,0)),0)+IF(N46&lt;M46,MAX(N46-TIME(7,0,0),0),0)))</f>
        <v>3.9999999999999991</v>
      </c>
      <c r="Q46" s="67">
        <f t="shared" si="25"/>
        <v>0</v>
      </c>
      <c r="R46" s="68">
        <f t="shared" si="30"/>
        <v>0</v>
      </c>
    </row>
    <row r="47" spans="1:22" ht="19.95" customHeight="1" x14ac:dyDescent="0.3">
      <c r="A47" s="41"/>
      <c r="B47" s="7"/>
      <c r="C47" s="24"/>
      <c r="D47" s="24"/>
      <c r="E47" s="24"/>
      <c r="F47" s="42" t="s">
        <v>46</v>
      </c>
      <c r="G47" s="49">
        <f>SUM(G40:G46)</f>
        <v>12</v>
      </c>
      <c r="H47" s="49">
        <f>SUM(H40:H46)</f>
        <v>12</v>
      </c>
      <c r="I47" s="49"/>
      <c r="J47" s="49"/>
      <c r="K47" s="49"/>
      <c r="L47" s="24"/>
      <c r="M47" s="24"/>
      <c r="N47" s="24"/>
      <c r="O47" s="24"/>
      <c r="P47" s="42" t="s">
        <v>47</v>
      </c>
      <c r="Q47" s="49">
        <f>SUM(Q40:Q46)</f>
        <v>-0.5</v>
      </c>
      <c r="R47" s="49">
        <f>SUM(R40:R46)</f>
        <v>-0.5</v>
      </c>
    </row>
    <row r="48" spans="1:22" ht="4.95" customHeight="1" thickBot="1" x14ac:dyDescent="0.35">
      <c r="A48" s="30"/>
      <c r="B48" s="31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71"/>
    </row>
    <row r="49" spans="1:18" ht="4.95" customHeight="1" thickTop="1" x14ac:dyDescent="0.3">
      <c r="A49" s="16"/>
      <c r="B49" s="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</row>
    <row r="50" spans="1:18" ht="19.95" customHeight="1" x14ac:dyDescent="0.3">
      <c r="A50" s="53" t="s">
        <v>20</v>
      </c>
      <c r="B50" s="51"/>
      <c r="C50" s="52"/>
      <c r="D50" s="52"/>
      <c r="E50" s="52"/>
      <c r="F50" s="52"/>
      <c r="G50" s="52"/>
      <c r="H50" s="52"/>
      <c r="I50" s="81"/>
      <c r="J50" s="52"/>
      <c r="K50" s="52"/>
      <c r="L50" s="81"/>
      <c r="M50" s="52"/>
      <c r="N50" s="52"/>
      <c r="O50" s="52"/>
      <c r="P50" s="52"/>
      <c r="Q50" s="52"/>
      <c r="R50" s="70"/>
    </row>
    <row r="51" spans="1:18" ht="4.95" customHeight="1" x14ac:dyDescent="0.3">
      <c r="A51" s="16"/>
      <c r="B51" s="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1:18" ht="19.95" customHeight="1" x14ac:dyDescent="0.3">
      <c r="A52" s="26">
        <f>('Work Calculator'!A21)</f>
        <v>44829</v>
      </c>
      <c r="B52" s="15" t="str">
        <f>('Work Calculator'!B21)</f>
        <v>Sunday</v>
      </c>
      <c r="C52" s="58">
        <f>IF('Work Calculator'!N21="","",'Work Calculator'!N21)</f>
        <v>0</v>
      </c>
      <c r="D52" s="58">
        <f>IF('Work Calculator'!O21="","",'Work Calculator'!O21)</f>
        <v>0</v>
      </c>
      <c r="E52" s="59">
        <f t="shared" ref="E52:E58" si="31">IF(C52="","",24*MOD(D52-C52,1))</f>
        <v>0</v>
      </c>
      <c r="F52" s="60">
        <f t="shared" ref="F52:F58" si="32">IF(C52="","",24*(MAX(MIN(D52+(D52&lt;C52),TIME(20,0,0))-MAX(C52,TIME(7,0,0)),0)+IF(D52&lt;C52,MAX(D52-TIME(7,0,0),0),0)))</f>
        <v>0</v>
      </c>
      <c r="G52" s="59">
        <f>IF(C52="","",E52-F52)*0</f>
        <v>0</v>
      </c>
      <c r="H52" s="59">
        <f t="shared" ref="H52:H58" si="33">CEILING($G52,0.25)</f>
        <v>0</v>
      </c>
      <c r="I52" s="155"/>
      <c r="J52" s="59"/>
      <c r="K52" s="59"/>
      <c r="L52" s="39"/>
      <c r="M52" s="58">
        <f>IF('Work Calculator'!R21="","",'Work Calculator'!R21)</f>
        <v>0</v>
      </c>
      <c r="N52" s="58">
        <f>IF('Work Calculator'!S21="","",'Work Calculator'!S21)</f>
        <v>0</v>
      </c>
      <c r="O52" s="59">
        <f t="shared" ref="O52:O58" si="34">IF(M52="","",24*MOD(N52-M52,1))</f>
        <v>0</v>
      </c>
      <c r="P52" s="60">
        <f t="shared" ref="P52:P58" si="35">IF(M52="","",24*(MAX(MIN(N52+(N52&lt;M52),TIME(20,0,0))-MAX(M52,TIME(7,0,0)),0)+IF(N52&lt;M52,MAX(N52-TIME(7,0,0),0),0)))</f>
        <v>0</v>
      </c>
      <c r="Q52" s="59">
        <f>IF(M52="","",O52-P52)*0</f>
        <v>0</v>
      </c>
      <c r="R52" s="60">
        <f t="shared" ref="R52:R58" si="36">CEILING($Q52,0.25)</f>
        <v>0</v>
      </c>
    </row>
    <row r="53" spans="1:18" ht="19.95" customHeight="1" x14ac:dyDescent="0.3">
      <c r="A53" s="43">
        <f>('Work Calculator'!A22)</f>
        <v>44830</v>
      </c>
      <c r="B53" s="7" t="str">
        <f>('Work Calculator'!B22)</f>
        <v>Monday</v>
      </c>
      <c r="C53" s="61">
        <f>IF('Work Calculator'!N22="","",'Work Calculator'!N22)</f>
        <v>0.6875</v>
      </c>
      <c r="D53" s="61">
        <f>IF('Work Calculator'!O22="","",'Work Calculator'!O22)</f>
        <v>0.85416666666666663</v>
      </c>
      <c r="E53" s="62">
        <f t="shared" si="31"/>
        <v>3.9999999999999991</v>
      </c>
      <c r="F53" s="63">
        <f t="shared" si="32"/>
        <v>3.5000000000000009</v>
      </c>
      <c r="G53" s="62">
        <f t="shared" ref="G53:G58" si="37">IF(C53="","",E53-F53)</f>
        <v>0.49999999999999822</v>
      </c>
      <c r="H53" s="62">
        <f t="shared" si="33"/>
        <v>0.5</v>
      </c>
      <c r="I53" s="155"/>
      <c r="J53" s="62"/>
      <c r="K53" s="62"/>
      <c r="L53" s="39"/>
      <c r="M53" s="64">
        <f>IF('Work Calculator'!R22="","",'Work Calculator'!R22)</f>
        <v>0.89583333333333337</v>
      </c>
      <c r="N53" s="64">
        <f>IF('Work Calculator'!S22="","",'Work Calculator'!S22)</f>
        <v>0.29097222222222224</v>
      </c>
      <c r="O53" s="57">
        <f t="shared" si="34"/>
        <v>9.4833333333333343</v>
      </c>
      <c r="P53" s="65">
        <f t="shared" si="35"/>
        <v>0</v>
      </c>
      <c r="Q53" s="57">
        <f t="shared" ref="Q53:Q58" si="38">IF(M53="","",O53-P53)</f>
        <v>9.4833333333333343</v>
      </c>
      <c r="R53" s="65">
        <f t="shared" si="36"/>
        <v>9.5</v>
      </c>
    </row>
    <row r="54" spans="1:18" ht="19.95" customHeight="1" x14ac:dyDescent="0.3">
      <c r="A54" s="14">
        <f>('Work Calculator'!A23)</f>
        <v>44831</v>
      </c>
      <c r="B54" s="3" t="str">
        <f>('Work Calculator'!B23)</f>
        <v>Tuesday</v>
      </c>
      <c r="C54" s="66">
        <f>IF('Work Calculator'!N23="","",'Work Calculator'!N23)</f>
        <v>0.67708333333333337</v>
      </c>
      <c r="D54" s="66">
        <f>IF('Work Calculator'!O23="","",'Work Calculator'!O23)</f>
        <v>0.84375</v>
      </c>
      <c r="E54" s="67">
        <f t="shared" si="31"/>
        <v>3.9999999999999991</v>
      </c>
      <c r="F54" s="68">
        <f t="shared" si="32"/>
        <v>3.75</v>
      </c>
      <c r="G54" s="67">
        <f t="shared" si="37"/>
        <v>0.24999999999999911</v>
      </c>
      <c r="H54" s="67">
        <f t="shared" si="33"/>
        <v>0.25</v>
      </c>
      <c r="I54" s="155"/>
      <c r="J54" s="67"/>
      <c r="K54" s="67"/>
      <c r="L54" s="39"/>
      <c r="M54" s="66">
        <f>IF('Work Calculator'!R23="","",'Work Calculator'!R23)</f>
        <v>0.875</v>
      </c>
      <c r="N54" s="66">
        <f>IF('Work Calculator'!S23="","",'Work Calculator'!S23)</f>
        <v>4.1666666666666664E-2</v>
      </c>
      <c r="O54" s="67">
        <f t="shared" si="34"/>
        <v>3.9999999999999991</v>
      </c>
      <c r="P54" s="68">
        <f t="shared" si="35"/>
        <v>0</v>
      </c>
      <c r="Q54" s="67">
        <f t="shared" si="38"/>
        <v>3.9999999999999991</v>
      </c>
      <c r="R54" s="68">
        <f t="shared" si="36"/>
        <v>4</v>
      </c>
    </row>
    <row r="55" spans="1:18" ht="19.95" customHeight="1" x14ac:dyDescent="0.3">
      <c r="A55" s="43">
        <f>('Work Calculator'!A24)</f>
        <v>44832</v>
      </c>
      <c r="B55" s="7" t="str">
        <f>('Work Calculator'!B24)</f>
        <v>Wednesday</v>
      </c>
      <c r="C55" s="61">
        <f>IF('Work Calculator'!N24="","",'Work Calculator'!N24)</f>
        <v>0</v>
      </c>
      <c r="D55" s="61">
        <f>IF('Work Calculator'!O24="","",'Work Calculator'!O24)</f>
        <v>0</v>
      </c>
      <c r="E55" s="62">
        <f t="shared" si="31"/>
        <v>0</v>
      </c>
      <c r="F55" s="63">
        <f t="shared" si="32"/>
        <v>0</v>
      </c>
      <c r="G55" s="62">
        <f t="shared" si="37"/>
        <v>0</v>
      </c>
      <c r="H55" s="62">
        <f t="shared" si="33"/>
        <v>0</v>
      </c>
      <c r="I55" s="155"/>
      <c r="J55" s="62"/>
      <c r="K55" s="62"/>
      <c r="L55" s="39"/>
      <c r="M55" s="64">
        <f>IF('Work Calculator'!R24="","",'Work Calculator'!R24)</f>
        <v>0</v>
      </c>
      <c r="N55" s="64">
        <f>IF('Work Calculator'!S24="","",'Work Calculator'!S24)</f>
        <v>0</v>
      </c>
      <c r="O55" s="57">
        <f t="shared" si="34"/>
        <v>0</v>
      </c>
      <c r="P55" s="65">
        <f t="shared" si="35"/>
        <v>0</v>
      </c>
      <c r="Q55" s="57">
        <f t="shared" si="38"/>
        <v>0</v>
      </c>
      <c r="R55" s="65">
        <f t="shared" si="36"/>
        <v>0</v>
      </c>
    </row>
    <row r="56" spans="1:18" ht="19.95" customHeight="1" x14ac:dyDescent="0.3">
      <c r="A56" s="14">
        <f>('Work Calculator'!A25)</f>
        <v>44833</v>
      </c>
      <c r="B56" s="3" t="str">
        <f>('Work Calculator'!B25)</f>
        <v>Thursday</v>
      </c>
      <c r="C56" s="66">
        <f>IF('Work Calculator'!N25="","",'Work Calculator'!N25)</f>
        <v>0</v>
      </c>
      <c r="D56" s="66">
        <f>IF('Work Calculator'!O25="","",'Work Calculator'!O25)</f>
        <v>0</v>
      </c>
      <c r="E56" s="67">
        <f t="shared" si="31"/>
        <v>0</v>
      </c>
      <c r="F56" s="68">
        <f t="shared" si="32"/>
        <v>0</v>
      </c>
      <c r="G56" s="67">
        <f t="shared" si="37"/>
        <v>0</v>
      </c>
      <c r="H56" s="67">
        <f t="shared" si="33"/>
        <v>0</v>
      </c>
      <c r="I56" s="155"/>
      <c r="J56" s="67"/>
      <c r="K56" s="67"/>
      <c r="L56" s="39"/>
      <c r="M56" s="66">
        <f>IF('Work Calculator'!R25="","",'Work Calculator'!R25)</f>
        <v>0</v>
      </c>
      <c r="N56" s="66">
        <f>IF('Work Calculator'!S25="","",'Work Calculator'!S25)</f>
        <v>0</v>
      </c>
      <c r="O56" s="67">
        <f t="shared" si="34"/>
        <v>0</v>
      </c>
      <c r="P56" s="68">
        <f t="shared" si="35"/>
        <v>0</v>
      </c>
      <c r="Q56" s="67">
        <f t="shared" si="38"/>
        <v>0</v>
      </c>
      <c r="R56" s="68">
        <f t="shared" si="36"/>
        <v>0</v>
      </c>
    </row>
    <row r="57" spans="1:18" ht="19.95" customHeight="1" x14ac:dyDescent="0.3">
      <c r="A57" s="43">
        <f>('Work Calculator'!A26)</f>
        <v>44834</v>
      </c>
      <c r="B57" s="7" t="str">
        <f>('Work Calculator'!B26)</f>
        <v>Friday</v>
      </c>
      <c r="C57" s="61">
        <f>IF('Work Calculator'!N26="","",'Work Calculator'!N26)</f>
        <v>0</v>
      </c>
      <c r="D57" s="61">
        <f>IF('Work Calculator'!O26="","",'Work Calculator'!O26)</f>
        <v>0</v>
      </c>
      <c r="E57" s="62">
        <f t="shared" si="31"/>
        <v>0</v>
      </c>
      <c r="F57" s="63">
        <f t="shared" si="32"/>
        <v>0</v>
      </c>
      <c r="G57" s="62">
        <f t="shared" si="37"/>
        <v>0</v>
      </c>
      <c r="H57" s="62">
        <f t="shared" si="33"/>
        <v>0</v>
      </c>
      <c r="I57" s="155"/>
      <c r="J57" s="62"/>
      <c r="K57" s="62"/>
      <c r="L57" s="39"/>
      <c r="M57" s="64">
        <f>IF('Work Calculator'!R26="","",'Work Calculator'!R26)</f>
        <v>0</v>
      </c>
      <c r="N57" s="64">
        <f>IF('Work Calculator'!S26="","",'Work Calculator'!S26)</f>
        <v>0</v>
      </c>
      <c r="O57" s="57">
        <f t="shared" si="34"/>
        <v>0</v>
      </c>
      <c r="P57" s="65">
        <f t="shared" si="35"/>
        <v>0</v>
      </c>
      <c r="Q57" s="57">
        <f t="shared" si="38"/>
        <v>0</v>
      </c>
      <c r="R57" s="65">
        <f t="shared" si="36"/>
        <v>0</v>
      </c>
    </row>
    <row r="58" spans="1:18" ht="19.95" customHeight="1" x14ac:dyDescent="0.3">
      <c r="A58" s="14">
        <f>('Work Calculator'!A27)</f>
        <v>44835</v>
      </c>
      <c r="B58" s="3" t="str">
        <f>('Work Calculator'!B27)</f>
        <v>Saturday</v>
      </c>
      <c r="C58" s="66">
        <f>IF('Work Calculator'!N27="","",'Work Calculator'!N27)</f>
        <v>0</v>
      </c>
      <c r="D58" s="66">
        <f>IF('Work Calculator'!O27="","",'Work Calculator'!O27)</f>
        <v>0</v>
      </c>
      <c r="E58" s="67">
        <f t="shared" si="31"/>
        <v>0</v>
      </c>
      <c r="F58" s="68">
        <f t="shared" si="32"/>
        <v>0</v>
      </c>
      <c r="G58" s="67">
        <f t="shared" si="37"/>
        <v>0</v>
      </c>
      <c r="H58" s="67">
        <f t="shared" si="33"/>
        <v>0</v>
      </c>
      <c r="I58" s="155"/>
      <c r="J58" s="67"/>
      <c r="K58" s="67"/>
      <c r="L58" s="39"/>
      <c r="M58" s="66">
        <f>IF('Work Calculator'!R27="","",'Work Calculator'!R27)</f>
        <v>0</v>
      </c>
      <c r="N58" s="66">
        <f>IF('Work Calculator'!S27="","",'Work Calculator'!S27)</f>
        <v>0</v>
      </c>
      <c r="O58" s="67">
        <f t="shared" si="34"/>
        <v>0</v>
      </c>
      <c r="P58" s="68">
        <f t="shared" si="35"/>
        <v>0</v>
      </c>
      <c r="Q58" s="67">
        <f t="shared" si="38"/>
        <v>0</v>
      </c>
      <c r="R58" s="68">
        <f t="shared" si="36"/>
        <v>0</v>
      </c>
    </row>
    <row r="59" spans="1:18" ht="19.95" customHeight="1" x14ac:dyDescent="0.3">
      <c r="A59" s="24"/>
      <c r="B59" s="24"/>
      <c r="C59" s="24"/>
      <c r="D59" s="24"/>
      <c r="E59" s="24"/>
      <c r="F59" s="42" t="s">
        <v>48</v>
      </c>
      <c r="G59" s="49">
        <f>SUM(G52:G58)</f>
        <v>0.74999999999999734</v>
      </c>
      <c r="H59" s="49">
        <f>SUM(H52:H58)</f>
        <v>0.75</v>
      </c>
      <c r="I59" s="49"/>
      <c r="J59" s="49"/>
      <c r="K59" s="49"/>
      <c r="L59" s="24"/>
      <c r="M59" s="24"/>
      <c r="N59" s="24"/>
      <c r="O59" s="24"/>
      <c r="P59" s="42" t="s">
        <v>49</v>
      </c>
      <c r="Q59" s="49">
        <f>SUM(Q52:Q58)</f>
        <v>13.483333333333334</v>
      </c>
      <c r="R59" s="49">
        <f>SUM(R52:R58)</f>
        <v>13.5</v>
      </c>
    </row>
    <row r="60" spans="1:18" x14ac:dyDescent="0.3">
      <c r="E60" s="167" t="s">
        <v>153</v>
      </c>
    </row>
  </sheetData>
  <mergeCells count="10">
    <mergeCell ref="C34:H34"/>
    <mergeCell ref="M34:R34"/>
    <mergeCell ref="T4:U4"/>
    <mergeCell ref="J4:K4"/>
    <mergeCell ref="C35:H35"/>
    <mergeCell ref="M35:R35"/>
    <mergeCell ref="C4:H4"/>
    <mergeCell ref="C5:H5"/>
    <mergeCell ref="M4:R4"/>
    <mergeCell ref="M5:R5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21"/>
  <sheetViews>
    <sheetView workbookViewId="0">
      <selection activeCell="H8" sqref="H8"/>
    </sheetView>
  </sheetViews>
  <sheetFormatPr defaultRowHeight="14.4" x14ac:dyDescent="0.3"/>
  <cols>
    <col min="1" max="9" width="20.6640625" customWidth="1"/>
  </cols>
  <sheetData>
    <row r="1" spans="1:11" x14ac:dyDescent="0.3">
      <c r="A1" s="24"/>
    </row>
    <row r="2" spans="1:11" ht="15.6" x14ac:dyDescent="0.3">
      <c r="A2" s="75" t="s">
        <v>51</v>
      </c>
      <c r="B2" s="191"/>
      <c r="C2" s="191"/>
    </row>
    <row r="3" spans="1:11" ht="15.6" x14ac:dyDescent="0.3">
      <c r="A3" s="75"/>
      <c r="B3" s="48" t="s">
        <v>78</v>
      </c>
      <c r="C3" s="48" t="s">
        <v>79</v>
      </c>
      <c r="D3" s="48" t="s">
        <v>84</v>
      </c>
      <c r="E3" s="192" t="s">
        <v>125</v>
      </c>
      <c r="F3" s="189"/>
      <c r="G3" s="192" t="s">
        <v>132</v>
      </c>
      <c r="H3" s="189"/>
      <c r="I3" s="48" t="s">
        <v>135</v>
      </c>
    </row>
    <row r="4" spans="1:11" ht="3" customHeight="1" x14ac:dyDescent="0.3">
      <c r="A4" s="75"/>
      <c r="B4" s="48"/>
      <c r="C4" s="48"/>
    </row>
    <row r="5" spans="1:11" x14ac:dyDescent="0.3">
      <c r="A5" s="34" t="s">
        <v>118</v>
      </c>
      <c r="B5" s="34" t="s">
        <v>15</v>
      </c>
      <c r="C5" s="34" t="s">
        <v>15</v>
      </c>
      <c r="D5" s="34" t="s">
        <v>15</v>
      </c>
      <c r="E5" s="34" t="s">
        <v>122</v>
      </c>
      <c r="G5" s="2" t="s">
        <v>138</v>
      </c>
      <c r="H5" s="35">
        <v>875658</v>
      </c>
    </row>
    <row r="6" spans="1:11" x14ac:dyDescent="0.3">
      <c r="A6" s="34" t="s">
        <v>53</v>
      </c>
      <c r="B6" s="34" t="s">
        <v>56</v>
      </c>
      <c r="C6" s="34" t="s">
        <v>77</v>
      </c>
      <c r="D6" s="34" t="s">
        <v>74</v>
      </c>
      <c r="E6" s="34" t="s">
        <v>131</v>
      </c>
      <c r="F6" s="34"/>
      <c r="G6" s="2" t="s">
        <v>133</v>
      </c>
      <c r="H6" s="7">
        <v>123456</v>
      </c>
      <c r="I6" s="34" t="s">
        <v>130</v>
      </c>
      <c r="K6" s="34"/>
    </row>
    <row r="7" spans="1:11" x14ac:dyDescent="0.3">
      <c r="A7" s="34" t="s">
        <v>23</v>
      </c>
      <c r="B7" s="34" t="s">
        <v>55</v>
      </c>
      <c r="C7" s="34"/>
      <c r="D7" s="34" t="s">
        <v>113</v>
      </c>
      <c r="E7" s="34" t="s">
        <v>96</v>
      </c>
      <c r="G7" s="2" t="s">
        <v>134</v>
      </c>
      <c r="H7" s="35">
        <v>894378</v>
      </c>
      <c r="I7" t="s">
        <v>136</v>
      </c>
    </row>
    <row r="8" spans="1:11" x14ac:dyDescent="0.3">
      <c r="A8" s="34" t="s">
        <v>26</v>
      </c>
      <c r="B8" s="34" t="s">
        <v>69</v>
      </c>
      <c r="C8" s="34"/>
      <c r="D8" s="34"/>
      <c r="E8" s="34" t="s">
        <v>123</v>
      </c>
      <c r="G8" s="2" t="s">
        <v>145</v>
      </c>
      <c r="H8" s="35">
        <v>867770</v>
      </c>
      <c r="I8" t="s">
        <v>137</v>
      </c>
    </row>
    <row r="9" spans="1:11" x14ac:dyDescent="0.3">
      <c r="A9" s="34" t="s">
        <v>107</v>
      </c>
      <c r="B9" s="34" t="s">
        <v>57</v>
      </c>
      <c r="C9" s="34"/>
      <c r="D9" s="34"/>
      <c r="E9" s="34" t="s">
        <v>121</v>
      </c>
    </row>
    <row r="10" spans="1:11" x14ac:dyDescent="0.3">
      <c r="A10" s="34" t="s">
        <v>24</v>
      </c>
      <c r="B10" s="34"/>
      <c r="C10" s="34"/>
      <c r="D10" s="34"/>
      <c r="E10" s="34" t="s">
        <v>124</v>
      </c>
    </row>
    <row r="11" spans="1:11" x14ac:dyDescent="0.3">
      <c r="A11" s="34" t="s">
        <v>99</v>
      </c>
      <c r="B11" s="34"/>
      <c r="C11" s="34"/>
      <c r="D11" s="34"/>
    </row>
    <row r="12" spans="1:11" x14ac:dyDescent="0.3">
      <c r="A12" s="34" t="s">
        <v>54</v>
      </c>
      <c r="E12" s="34"/>
    </row>
    <row r="13" spans="1:11" x14ac:dyDescent="0.3">
      <c r="A13" s="34" t="s">
        <v>96</v>
      </c>
      <c r="E13" s="34"/>
    </row>
    <row r="14" spans="1:11" x14ac:dyDescent="0.3">
      <c r="A14" s="34" t="s">
        <v>117</v>
      </c>
      <c r="E14" s="34"/>
    </row>
    <row r="15" spans="1:11" ht="15" customHeight="1" x14ac:dyDescent="0.3">
      <c r="A15" s="34" t="s">
        <v>7</v>
      </c>
      <c r="E15" s="34"/>
    </row>
    <row r="16" spans="1:11" ht="15" customHeight="1" x14ac:dyDescent="0.3">
      <c r="A16" s="34" t="s">
        <v>70</v>
      </c>
    </row>
    <row r="17" spans="1:1" ht="15" customHeight="1" x14ac:dyDescent="0.3">
      <c r="A17" s="34"/>
    </row>
    <row r="18" spans="1:1" x14ac:dyDescent="0.3">
      <c r="A18" s="34"/>
    </row>
    <row r="19" spans="1:1" x14ac:dyDescent="0.3">
      <c r="A19" s="34"/>
    </row>
    <row r="20" spans="1:1" x14ac:dyDescent="0.3">
      <c r="A20" s="24"/>
    </row>
    <row r="21" spans="1:1" x14ac:dyDescent="0.3">
      <c r="A21" s="24"/>
    </row>
  </sheetData>
  <sortState xmlns:xlrd2="http://schemas.microsoft.com/office/spreadsheetml/2017/richdata2" ref="A4:A19">
    <sortCondition ref="A4"/>
  </sortState>
  <mergeCells count="3">
    <mergeCell ref="B2:C2"/>
    <mergeCell ref="E3:F3"/>
    <mergeCell ref="G3:H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41"/>
  <sheetViews>
    <sheetView workbookViewId="0">
      <selection activeCell="A15" sqref="A15"/>
    </sheetView>
  </sheetViews>
  <sheetFormatPr defaultRowHeight="14.4" x14ac:dyDescent="0.3"/>
  <cols>
    <col min="1" max="1" width="69.6640625" customWidth="1"/>
    <col min="2" max="2" width="27" customWidth="1"/>
  </cols>
  <sheetData>
    <row r="1" spans="1:2" x14ac:dyDescent="0.3">
      <c r="A1" t="s">
        <v>30</v>
      </c>
      <c r="B1" s="35" t="s">
        <v>31</v>
      </c>
    </row>
    <row r="3" spans="1:2" ht="27.75" customHeight="1" x14ac:dyDescent="0.3">
      <c r="A3" s="24" t="s">
        <v>14</v>
      </c>
    </row>
    <row r="4" spans="1:2" x14ac:dyDescent="0.3">
      <c r="A4" t="s">
        <v>63</v>
      </c>
    </row>
    <row r="5" spans="1:2" x14ac:dyDescent="0.3">
      <c r="A5" t="s">
        <v>9</v>
      </c>
    </row>
    <row r="6" spans="1:2" x14ac:dyDescent="0.3">
      <c r="A6" t="s">
        <v>8</v>
      </c>
    </row>
    <row r="7" spans="1:2" x14ac:dyDescent="0.3">
      <c r="A7" t="s">
        <v>10</v>
      </c>
    </row>
    <row r="9" spans="1:2" x14ac:dyDescent="0.3">
      <c r="A9" t="s">
        <v>27</v>
      </c>
    </row>
    <row r="11" spans="1:2" x14ac:dyDescent="0.3">
      <c r="A11" t="s">
        <v>28</v>
      </c>
    </row>
    <row r="12" spans="1:2" x14ac:dyDescent="0.3">
      <c r="A12" t="s">
        <v>29</v>
      </c>
    </row>
    <row r="14" spans="1:2" x14ac:dyDescent="0.3">
      <c r="A14" s="50" t="s">
        <v>50</v>
      </c>
      <c r="B14" t="s">
        <v>60</v>
      </c>
    </row>
    <row r="15" spans="1:2" ht="28.8" x14ac:dyDescent="0.3">
      <c r="A15" s="50" t="s">
        <v>90</v>
      </c>
      <c r="B15" s="193" t="s">
        <v>92</v>
      </c>
    </row>
    <row r="16" spans="1:2" ht="43.2" x14ac:dyDescent="0.3">
      <c r="A16" s="116" t="s">
        <v>94</v>
      </c>
      <c r="B16" s="193"/>
    </row>
    <row r="17" spans="1:2" x14ac:dyDescent="0.3">
      <c r="A17" s="116"/>
      <c r="B17" s="193"/>
    </row>
    <row r="18" spans="1:2" ht="57.6" x14ac:dyDescent="0.3">
      <c r="A18" s="50" t="s">
        <v>93</v>
      </c>
      <c r="B18" s="193"/>
    </row>
    <row r="19" spans="1:2" ht="28.8" x14ac:dyDescent="0.3">
      <c r="A19" s="50" t="s">
        <v>91</v>
      </c>
    </row>
    <row r="21" spans="1:2" x14ac:dyDescent="0.3">
      <c r="A21" t="s">
        <v>62</v>
      </c>
      <c r="B21" t="s">
        <v>59</v>
      </c>
    </row>
    <row r="23" spans="1:2" x14ac:dyDescent="0.3">
      <c r="A23" t="s">
        <v>52</v>
      </c>
      <c r="B23" t="s">
        <v>59</v>
      </c>
    </row>
    <row r="25" spans="1:2" x14ac:dyDescent="0.3">
      <c r="A25" t="s">
        <v>58</v>
      </c>
      <c r="B25" t="s">
        <v>59</v>
      </c>
    </row>
    <row r="27" spans="1:2" x14ac:dyDescent="0.3">
      <c r="A27" t="s">
        <v>61</v>
      </c>
    </row>
    <row r="29" spans="1:2" x14ac:dyDescent="0.3">
      <c r="A29" t="s">
        <v>65</v>
      </c>
    </row>
    <row r="30" spans="1:2" x14ac:dyDescent="0.3">
      <c r="A30" t="s">
        <v>64</v>
      </c>
    </row>
    <row r="32" spans="1:2" x14ac:dyDescent="0.3">
      <c r="A32" t="s">
        <v>66</v>
      </c>
    </row>
    <row r="34" spans="1:1" x14ac:dyDescent="0.3">
      <c r="A34" t="s">
        <v>67</v>
      </c>
    </row>
    <row r="36" spans="1:1" x14ac:dyDescent="0.3">
      <c r="A36" t="s">
        <v>72</v>
      </c>
    </row>
    <row r="37" spans="1:1" x14ac:dyDescent="0.3">
      <c r="A37" s="72" t="s">
        <v>73</v>
      </c>
    </row>
    <row r="39" spans="1:1" x14ac:dyDescent="0.3">
      <c r="A39" t="s">
        <v>109</v>
      </c>
    </row>
    <row r="41" spans="1:1" x14ac:dyDescent="0.3">
      <c r="A41" t="s">
        <v>111</v>
      </c>
    </row>
  </sheetData>
  <mergeCells count="1">
    <mergeCell ref="B15:B1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Work Calculator</vt:lpstr>
      <vt:lpstr>Penalty Rate Calculator</vt:lpstr>
      <vt:lpstr>Data Validation Lists</vt:lpstr>
      <vt:lpstr>Notes</vt:lpstr>
      <vt:lpstr>'Work Calculator'!Print_Titles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2022-12-04T01:51:35Z</dcterms:created>
  <dcterms:modified xsi:type="dcterms:W3CDTF">2023-10-20T22:41:58Z</dcterms:modified>
</cp:coreProperties>
</file>