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l\Desktop\"/>
    </mc:Choice>
  </mc:AlternateContent>
  <xr:revisionPtr revIDLastSave="0" documentId="13_ncr:1_{42367872-9419-40E2-9590-A9BE0B40BF41}" xr6:coauthVersionLast="47" xr6:coauthVersionMax="47" xr10:uidLastSave="{00000000-0000-0000-0000-000000000000}"/>
  <bookViews>
    <workbookView xWindow="0" yWindow="0" windowWidth="17900" windowHeight="6110" xr2:uid="{7219962C-9569-46B7-B725-2949E51DBFDB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E8" i="1"/>
  <c r="B8" i="1"/>
  <c r="G38" i="1"/>
  <c r="G37" i="1"/>
  <c r="G36" i="1"/>
  <c r="G35" i="1"/>
  <c r="G44" i="1"/>
  <c r="G43" i="1"/>
  <c r="G42" i="1"/>
  <c r="G45" i="1"/>
  <c r="G30" i="1"/>
  <c r="G31" i="1"/>
  <c r="G29" i="1"/>
  <c r="G28" i="1"/>
  <c r="G27" i="1"/>
  <c r="G26" i="1"/>
  <c r="G25" i="1"/>
  <c r="J19" i="1"/>
  <c r="J20" i="1"/>
  <c r="J22" i="1"/>
  <c r="F18" i="1"/>
  <c r="F19" i="1"/>
  <c r="F21" i="1"/>
  <c r="C17" i="1"/>
  <c r="B17" i="1"/>
  <c r="E7" i="1"/>
  <c r="E10" i="1"/>
  <c r="H7" i="1"/>
  <c r="H10" i="1"/>
  <c r="B7" i="1"/>
  <c r="B24" i="1"/>
  <c r="B19" i="1"/>
  <c r="B18" i="1"/>
  <c r="G32" i="1"/>
  <c r="G39" i="1"/>
  <c r="B15" i="1"/>
  <c r="I26" i="1"/>
  <c r="J26" i="1"/>
  <c r="J30" i="1"/>
  <c r="K30" i="1"/>
  <c r="B25" i="1"/>
  <c r="B22" i="1"/>
  <c r="B23" i="1"/>
  <c r="F22" i="1"/>
  <c r="B16" i="1"/>
  <c r="F20" i="1"/>
  <c r="B10" i="1"/>
  <c r="J21" i="1"/>
</calcChain>
</file>

<file path=xl/sharedStrings.xml><?xml version="1.0" encoding="utf-8"?>
<sst xmlns="http://schemas.openxmlformats.org/spreadsheetml/2006/main" count="90" uniqueCount="72">
  <si>
    <t>NET</t>
  </si>
  <si>
    <t>WASTE</t>
  </si>
  <si>
    <t>GROSS</t>
  </si>
  <si>
    <t>INPUT</t>
  </si>
  <si>
    <t>SF/BOX</t>
  </si>
  <si>
    <t>BOXES</t>
  </si>
  <si>
    <t>SILICONE</t>
  </si>
  <si>
    <t>MORTAR</t>
  </si>
  <si>
    <t>CAULK</t>
  </si>
  <si>
    <t>LFT/MORTAR</t>
  </si>
  <si>
    <t>CMT BOARD</t>
  </si>
  <si>
    <t>LABOR</t>
  </si>
  <si>
    <t>TAPE</t>
  </si>
  <si>
    <t>BOARDS</t>
  </si>
  <si>
    <t>PLYWOOD CALCULATION</t>
  </si>
  <si>
    <t>COST AT STORE</t>
  </si>
  <si>
    <t>NFM PRICE</t>
  </si>
  <si>
    <t>AREA WASTE SF</t>
  </si>
  <si>
    <t>PERIMETER</t>
  </si>
  <si>
    <t>CMT BOARD CALCULATION</t>
  </si>
  <si>
    <t>ADD-ONS</t>
  </si>
  <si>
    <t>RAPID-SET</t>
  </si>
  <si>
    <t>WASTE SF</t>
  </si>
  <si>
    <t>NET SF</t>
  </si>
  <si>
    <t>1"</t>
  </si>
  <si>
    <t>2"</t>
  </si>
  <si>
    <t>3"</t>
  </si>
  <si>
    <t>4"</t>
  </si>
  <si>
    <t>5"</t>
  </si>
  <si>
    <t>6"</t>
  </si>
  <si>
    <t>7"</t>
  </si>
  <si>
    <t>8"</t>
  </si>
  <si>
    <t>9"</t>
  </si>
  <si>
    <t>ADHESIVES</t>
  </si>
  <si>
    <t>980 (3.5gal)</t>
  </si>
  <si>
    <t>980 (5gal)</t>
  </si>
  <si>
    <t>TBD</t>
  </si>
  <si>
    <t>MC-35</t>
  </si>
  <si>
    <t>980 (4gal)</t>
  </si>
  <si>
    <t>MAPECEM</t>
  </si>
  <si>
    <t>FID CALCULATIONS</t>
  </si>
  <si>
    <t>FELT PAPER</t>
  </si>
  <si>
    <t>2 LAYERS</t>
  </si>
  <si>
    <t>3 LAYERS</t>
  </si>
  <si>
    <t>PLASTIC</t>
  </si>
  <si>
    <t>100 SF</t>
  </si>
  <si>
    <t>1000 SF</t>
  </si>
  <si>
    <t>ROLL SIZE</t>
  </si>
  <si>
    <t>10"</t>
  </si>
  <si>
    <t>11"</t>
  </si>
  <si>
    <t>INCHES</t>
  </si>
  <si>
    <t>WET PERIM</t>
  </si>
  <si>
    <t>TRIM LINE 1</t>
  </si>
  <si>
    <t>REDUCER</t>
  </si>
  <si>
    <t>T-MOLD</t>
  </si>
  <si>
    <t>THRESHOLD</t>
  </si>
  <si>
    <t>SHOE</t>
  </si>
  <si>
    <t>QR</t>
  </si>
  <si>
    <t xml:space="preserve">MATCHING </t>
  </si>
  <si>
    <t>TRIM LINE 2</t>
  </si>
  <si>
    <t>BASEBOARD</t>
  </si>
  <si>
    <t>FLEX BB</t>
  </si>
  <si>
    <t>STAIRNOSE</t>
  </si>
  <si>
    <t>TRIM LINE 3</t>
  </si>
  <si>
    <t>RR BB</t>
  </si>
  <si>
    <t>3' RISER</t>
  </si>
  <si>
    <t>4' RISER</t>
  </si>
  <si>
    <t>5' RISER</t>
  </si>
  <si>
    <t>TOTAL</t>
  </si>
  <si>
    <t>FLEX SH/QR</t>
  </si>
  <si>
    <t>INPUT LF</t>
  </si>
  <si>
    <t>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</si>
</sst>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horizontal="center"/>
    </xf>
    <xf numFmtId="44" fontId="0" fillId="0" borderId="0" xfId="0" applyNumberFormat="1"/>
    <xf numFmtId="0" fontId="0" fillId="2" borderId="0" xfId="0" applyFill="1" applyProtection="1">
      <protection locked="0"/>
    </xf>
    <xf numFmtId="0" fontId="2" fillId="0" borderId="0" xfId="0" applyFont="1"/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0" xfId="0" applyFill="1"/>
    <xf numFmtId="0" fontId="2" fillId="0" borderId="1" xfId="0" applyFont="1" applyBorder="1"/>
    <xf numFmtId="0" fontId="0" fillId="0" borderId="2" xfId="0" applyBorder="1" applyAlignment="1">
      <alignment horizontal="center"/>
    </xf>
    <xf numFmtId="0" fontId="0" fillId="4" borderId="2" xfId="0" applyFill="1" applyBorder="1"/>
    <xf numFmtId="0" fontId="2" fillId="0" borderId="2" xfId="0" applyFont="1" applyBorder="1"/>
    <xf numFmtId="0" fontId="0" fillId="0" borderId="3" xfId="0" applyBorder="1" applyAlignment="1">
      <alignment horizontal="center"/>
    </xf>
    <xf numFmtId="0" fontId="2" fillId="0" borderId="4" xfId="0" applyFont="1" applyBorder="1"/>
    <xf numFmtId="0" fontId="0" fillId="0" borderId="5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6" borderId="6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4" borderId="7" xfId="0" applyFill="1" applyBorder="1"/>
    <xf numFmtId="0" fontId="2" fillId="0" borderId="7" xfId="0" applyFon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5" fillId="0" borderId="0" xfId="0" applyFont="1"/>
    <xf numFmtId="0" fontId="0" fillId="0" borderId="1" xfId="0" applyBorder="1"/>
    <xf numFmtId="0" fontId="0" fillId="0" borderId="8" xfId="0" applyBorder="1" applyAlignment="1">
      <alignment horizontal="center"/>
    </xf>
    <xf numFmtId="0" fontId="0" fillId="0" borderId="6" xfId="0" applyBorder="1"/>
    <xf numFmtId="164" fontId="0" fillId="0" borderId="8" xfId="1" applyNumberFormat="1" applyFont="1" applyBorder="1" applyAlignment="1" applyProtection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4" fontId="0" fillId="2" borderId="0" xfId="1" applyFont="1" applyFill="1" applyProtection="1">
      <protection locked="0"/>
    </xf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0" fillId="2" borderId="0" xfId="0" applyFill="1"/>
    <xf numFmtId="0" fontId="0" fillId="2" borderId="0" xfId="0" applyFill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center"/>
    </xf>
    <xf numFmtId="9" fontId="0" fillId="3" borderId="7" xfId="0" applyNumberFormat="1" applyFill="1" applyBorder="1" applyAlignment="1">
      <alignment horizontal="center"/>
    </xf>
    <xf numFmtId="0" fontId="0" fillId="0" borderId="0" xfId="0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57960-58A7-423B-8077-E04260B84BCE}">
  <dimension ref="A1:O45"/>
  <sheetViews>
    <sheetView tabSelected="1" topLeftCell="A4" zoomScale="75" zoomScaleNormal="75" workbookViewId="0">
      <selection activeCell="H9" sqref="H9"/>
    </sheetView>
  </sheetViews>
  <sheetFormatPr defaultRowHeight="14.75" x14ac:dyDescent="0.75"/>
  <cols>
    <col min="1" max="1" width="11.5" bestFit="1" customWidth="1"/>
    <col min="3" max="3" width="9.08984375" bestFit="1" customWidth="1"/>
    <col min="5" max="5" width="10.7265625" bestFit="1" customWidth="1"/>
    <col min="9" max="9" width="13.5" bestFit="1" customWidth="1"/>
    <col min="10" max="10" width="8.04296875" bestFit="1" customWidth="1"/>
    <col min="11" max="11" width="6.953125" bestFit="1" customWidth="1"/>
    <col min="13" max="13" width="13.5" bestFit="1" customWidth="1"/>
    <col min="14" max="14" width="9.86328125" bestFit="1" customWidth="1"/>
  </cols>
  <sheetData>
    <row r="1" spans="1:15" ht="23.5" x14ac:dyDescent="1.1000000000000001">
      <c r="A1" s="41" t="s">
        <v>40</v>
      </c>
      <c r="B1" s="41"/>
      <c r="C1" s="41"/>
      <c r="D1" s="41"/>
      <c r="E1" s="41"/>
      <c r="F1" s="41"/>
      <c r="G1" s="41"/>
      <c r="H1" s="41"/>
      <c r="I1" s="41"/>
      <c r="J1" s="41"/>
    </row>
    <row r="2" spans="1:15" x14ac:dyDescent="0.75">
      <c r="A2" s="49" t="s">
        <v>3</v>
      </c>
      <c r="B2" s="49"/>
      <c r="C2" s="49"/>
      <c r="D2" s="49"/>
      <c r="E2" s="49"/>
      <c r="F2" s="49"/>
      <c r="G2" s="1"/>
      <c r="J2" s="42" t="s">
        <v>50</v>
      </c>
      <c r="K2" s="43"/>
    </row>
    <row r="3" spans="1:15" x14ac:dyDescent="0.75">
      <c r="A3" s="4" t="s">
        <v>4</v>
      </c>
      <c r="B3" s="3">
        <v>23.22</v>
      </c>
      <c r="E3" s="4" t="s">
        <v>18</v>
      </c>
      <c r="F3" s="3">
        <v>200</v>
      </c>
      <c r="J3" s="5" t="s">
        <v>24</v>
      </c>
      <c r="K3" s="6">
        <v>0.08</v>
      </c>
    </row>
    <row r="4" spans="1:15" x14ac:dyDescent="0.75">
      <c r="A4" s="4" t="s">
        <v>0</v>
      </c>
      <c r="B4" s="3">
        <v>1466.56</v>
      </c>
      <c r="E4" s="4" t="s">
        <v>51</v>
      </c>
      <c r="F4" s="3">
        <v>222</v>
      </c>
      <c r="J4" s="7" t="s">
        <v>25</v>
      </c>
      <c r="K4" s="8">
        <v>0.16</v>
      </c>
    </row>
    <row r="5" spans="1:15" x14ac:dyDescent="0.75">
      <c r="J5" s="5" t="s">
        <v>26</v>
      </c>
      <c r="K5" s="6">
        <v>0.25</v>
      </c>
    </row>
    <row r="6" spans="1:15" x14ac:dyDescent="0.75">
      <c r="A6" s="50">
        <v>0.1</v>
      </c>
      <c r="B6" s="50"/>
      <c r="C6" s="9"/>
      <c r="D6" s="50">
        <v>0.15</v>
      </c>
      <c r="E6" s="50"/>
      <c r="F6" s="9"/>
      <c r="G6" s="50">
        <v>0.2</v>
      </c>
      <c r="H6" s="50"/>
      <c r="J6" s="7" t="s">
        <v>27</v>
      </c>
      <c r="K6" s="8">
        <v>0.33</v>
      </c>
    </row>
    <row r="7" spans="1:15" x14ac:dyDescent="0.75">
      <c r="A7" s="10" t="s">
        <v>1</v>
      </c>
      <c r="B7" s="11">
        <f>ROUNDUP((B4*1.1),2)</f>
        <v>1613.22</v>
      </c>
      <c r="C7" s="12"/>
      <c r="D7" s="13" t="s">
        <v>1</v>
      </c>
      <c r="E7" s="11">
        <f>ROUNDUP((B4*1.15),2)</f>
        <v>1686.55</v>
      </c>
      <c r="F7" s="12"/>
      <c r="G7" s="13" t="s">
        <v>1</v>
      </c>
      <c r="H7" s="14">
        <f>ROUNDUP((B4*1.2),2)</f>
        <v>1759.8799999999999</v>
      </c>
      <c r="J7" s="5" t="s">
        <v>28</v>
      </c>
      <c r="K7" s="6">
        <v>0.41</v>
      </c>
      <c r="N7" s="2"/>
    </row>
    <row r="8" spans="1:15" x14ac:dyDescent="0.75">
      <c r="A8" s="15" t="s">
        <v>2</v>
      </c>
      <c r="B8" s="1">
        <f>IF(ISNUMBER(MATCH(ROUND(MOD(CEILING(B10*B3,1/12),1),8),$N$3:$N$6,0))="TRUE",ROUNDUP(CEILING(B10*B3,1/12),2),ROUNDDOWN(CEILING(B10*B3,1/12),2))</f>
        <v>1625.41</v>
      </c>
      <c r="C8" s="9"/>
      <c r="D8" s="4" t="s">
        <v>2</v>
      </c>
      <c r="E8" s="1">
        <f>IF(ISNUMBER(MATCH(ROUND(MOD(CEILING(E10*B3,1/12),1),8),$N$3:$N$6,0))="TRUE",ROUNDUP(CEILING(E10*B3,1/12),2),ROUNDDOWN(CEILING(E10*B3,1/12),2))</f>
        <v>1695.08</v>
      </c>
      <c r="F8" s="9"/>
      <c r="G8" s="4" t="s">
        <v>2</v>
      </c>
      <c r="H8" s="51">
        <f>IF(ISNUMBER(MATCH(ROUND(MOD(CEILING(H10*B3,1/12),1),8),$N$3:$N$6,0))="TRUE",ROUNDUP(CEILING(H10*B3,1/12),2),ROUNDDOWN(CEILING(H10*B3,1/12),2))</f>
        <v>1764.75</v>
      </c>
      <c r="J8" s="7" t="s">
        <v>29</v>
      </c>
      <c r="K8" s="8">
        <v>0.5</v>
      </c>
      <c r="N8" s="2"/>
    </row>
    <row r="9" spans="1:15" x14ac:dyDescent="0.75">
      <c r="A9" s="17"/>
      <c r="C9" s="9"/>
      <c r="F9" s="9"/>
      <c r="H9" s="18"/>
      <c r="J9" s="5" t="s">
        <v>30</v>
      </c>
      <c r="K9" s="6">
        <v>0.57999999999999996</v>
      </c>
      <c r="N9" s="2"/>
    </row>
    <row r="10" spans="1:15" x14ac:dyDescent="0.75">
      <c r="A10" s="21" t="s">
        <v>5</v>
      </c>
      <c r="B10" s="22">
        <f>ROUNDUP((B7/B3),0)</f>
        <v>70</v>
      </c>
      <c r="C10" s="23"/>
      <c r="D10" s="24" t="s">
        <v>5</v>
      </c>
      <c r="E10" s="22">
        <f>ROUNDUP((E7/B3),0)</f>
        <v>73</v>
      </c>
      <c r="F10" s="23"/>
      <c r="G10" s="24" t="s">
        <v>5</v>
      </c>
      <c r="H10" s="25">
        <f>ROUNDUP((H7/B3),0)</f>
        <v>76</v>
      </c>
      <c r="J10" s="7" t="s">
        <v>31</v>
      </c>
      <c r="K10" s="8">
        <v>0.66</v>
      </c>
    </row>
    <row r="11" spans="1:15" x14ac:dyDescent="0.75">
      <c r="J11" s="5" t="s">
        <v>32</v>
      </c>
      <c r="K11" s="6">
        <v>0.75</v>
      </c>
    </row>
    <row r="12" spans="1:15" x14ac:dyDescent="0.75">
      <c r="J12" s="7" t="s">
        <v>48</v>
      </c>
      <c r="K12" s="8">
        <v>0.83</v>
      </c>
    </row>
    <row r="13" spans="1:15" x14ac:dyDescent="0.75">
      <c r="J13" s="19" t="s">
        <v>49</v>
      </c>
      <c r="K13" s="20">
        <v>0.92</v>
      </c>
      <c r="O13" s="1"/>
    </row>
    <row r="14" spans="1:15" ht="16" x14ac:dyDescent="0.8">
      <c r="A14" s="44" t="s">
        <v>20</v>
      </c>
      <c r="B14" s="44"/>
      <c r="C14" s="44"/>
      <c r="E14" s="44" t="s">
        <v>19</v>
      </c>
      <c r="F14" s="44"/>
      <c r="G14" s="44"/>
      <c r="H14" s="26"/>
      <c r="I14" s="44" t="s">
        <v>14</v>
      </c>
      <c r="J14" s="44"/>
      <c r="K14" s="44"/>
    </row>
    <row r="15" spans="1:15" x14ac:dyDescent="0.75">
      <c r="A15" s="27" t="s">
        <v>39</v>
      </c>
      <c r="B15" s="14">
        <f>ROUNDUP(B7/150,0)</f>
        <v>11</v>
      </c>
      <c r="E15" s="49" t="s">
        <v>3</v>
      </c>
      <c r="F15" s="49"/>
      <c r="I15" s="1" t="s">
        <v>3</v>
      </c>
      <c r="J15" s="1"/>
    </row>
    <row r="16" spans="1:15" x14ac:dyDescent="0.75">
      <c r="A16" s="17" t="s">
        <v>7</v>
      </c>
      <c r="B16" s="1">
        <f>ROUNDUP(B4/55,0)-C17</f>
        <v>22</v>
      </c>
      <c r="C16" s="14" t="s">
        <v>21</v>
      </c>
      <c r="E16" s="1" t="s">
        <v>23</v>
      </c>
      <c r="F16" s="3">
        <v>500</v>
      </c>
      <c r="I16" s="1" t="s">
        <v>15</v>
      </c>
      <c r="J16" s="34">
        <v>24.55</v>
      </c>
    </row>
    <row r="17" spans="1:11" x14ac:dyDescent="0.75">
      <c r="A17" s="17" t="s">
        <v>9</v>
      </c>
      <c r="B17" s="1">
        <f>ROUNDUP(B4/40,0)-C17</f>
        <v>32</v>
      </c>
      <c r="C17" s="28">
        <f>MIN(5,(ROUNDUP(B4/150,0)))</f>
        <v>5</v>
      </c>
      <c r="I17" s="1" t="s">
        <v>23</v>
      </c>
      <c r="J17" s="3">
        <v>1000</v>
      </c>
    </row>
    <row r="18" spans="1:11" x14ac:dyDescent="0.75">
      <c r="A18" s="17" t="s">
        <v>6</v>
      </c>
      <c r="B18" s="16">
        <f>ROUNDUP(F4/21,0)</f>
        <v>11</v>
      </c>
      <c r="E18" s="27" t="s">
        <v>22</v>
      </c>
      <c r="F18" s="14">
        <f>ROUNDUP(F16*1.1,2)</f>
        <v>550</v>
      </c>
    </row>
    <row r="19" spans="1:11" x14ac:dyDescent="0.75">
      <c r="A19" s="29" t="s">
        <v>8</v>
      </c>
      <c r="B19" s="28">
        <f>ROUNDUP(F3/21,0)</f>
        <v>10</v>
      </c>
      <c r="E19" s="17" t="s">
        <v>10</v>
      </c>
      <c r="F19" s="16">
        <f>ROUNDUP((F18/15),0)</f>
        <v>37</v>
      </c>
      <c r="I19" s="27" t="s">
        <v>17</v>
      </c>
      <c r="J19" s="14">
        <f>ROUNDUP(J17*1.1,2)</f>
        <v>1100</v>
      </c>
    </row>
    <row r="20" spans="1:11" x14ac:dyDescent="0.75">
      <c r="E20" s="17" t="s">
        <v>11</v>
      </c>
      <c r="F20" s="16">
        <f>F19*15</f>
        <v>555</v>
      </c>
      <c r="I20" s="17" t="s">
        <v>13</v>
      </c>
      <c r="J20" s="16">
        <f>ROUNDUP((J19/32),0)</f>
        <v>35</v>
      </c>
    </row>
    <row r="21" spans="1:11" ht="16" x14ac:dyDescent="0.8">
      <c r="A21" s="48" t="s">
        <v>33</v>
      </c>
      <c r="B21" s="48"/>
      <c r="C21" s="48"/>
      <c r="E21" s="17" t="s">
        <v>12</v>
      </c>
      <c r="F21" s="16">
        <f>ROUNDUP(F19/2,0)</f>
        <v>19</v>
      </c>
      <c r="I21" s="17" t="s">
        <v>11</v>
      </c>
      <c r="J21" s="16">
        <f>J20*32</f>
        <v>1120</v>
      </c>
    </row>
    <row r="22" spans="1:11" x14ac:dyDescent="0.75">
      <c r="A22" s="27" t="s">
        <v>37</v>
      </c>
      <c r="B22" s="11">
        <f>ROUNDUP(B7/120,0)</f>
        <v>14</v>
      </c>
      <c r="C22" s="35"/>
      <c r="E22" s="29" t="s">
        <v>7</v>
      </c>
      <c r="F22" s="28">
        <f>ROUNDUP((F19/5),0)</f>
        <v>8</v>
      </c>
      <c r="I22" s="29" t="s">
        <v>16</v>
      </c>
      <c r="J22" s="30">
        <f>ROUNDUP(((J16*J20)*1.0825)/0.85,0)</f>
        <v>1095</v>
      </c>
    </row>
    <row r="23" spans="1:11" x14ac:dyDescent="0.75">
      <c r="A23" s="17" t="s">
        <v>34</v>
      </c>
      <c r="B23" s="1">
        <f>ROUNDUP(B7/157.5,0)</f>
        <v>11</v>
      </c>
      <c r="C23" s="18"/>
    </row>
    <row r="24" spans="1:11" x14ac:dyDescent="0.75">
      <c r="A24" s="17" t="s">
        <v>38</v>
      </c>
      <c r="B24" s="1">
        <f>ROUNDUP(B7/180,0)</f>
        <v>9</v>
      </c>
      <c r="C24" s="18"/>
      <c r="D24" s="40" t="s">
        <v>71</v>
      </c>
      <c r="E24" s="4" t="s">
        <v>52</v>
      </c>
      <c r="F24" s="4" t="s">
        <v>70</v>
      </c>
      <c r="I24" s="45" t="s">
        <v>41</v>
      </c>
      <c r="J24" s="46"/>
    </row>
    <row r="25" spans="1:11" x14ac:dyDescent="0.75">
      <c r="A25" s="17" t="s">
        <v>35</v>
      </c>
      <c r="B25" s="1">
        <f>ROUNDUP(B7/225,0)</f>
        <v>8</v>
      </c>
      <c r="C25" s="18"/>
      <c r="D25" s="3">
        <v>94</v>
      </c>
      <c r="E25" t="s">
        <v>53</v>
      </c>
      <c r="F25" s="39">
        <v>24</v>
      </c>
      <c r="G25">
        <f>ROUNDUP(F25/ROUNDDOWN(D25/12,2),0)</f>
        <v>4</v>
      </c>
      <c r="I25" s="31" t="s">
        <v>42</v>
      </c>
      <c r="J25" s="16" t="s">
        <v>43</v>
      </c>
    </row>
    <row r="26" spans="1:11" x14ac:dyDescent="0.75">
      <c r="A26" s="17" t="s">
        <v>36</v>
      </c>
      <c r="C26" s="18"/>
      <c r="D26" s="3">
        <v>94</v>
      </c>
      <c r="E26" t="s">
        <v>54</v>
      </c>
      <c r="F26" s="39">
        <v>30.56</v>
      </c>
      <c r="G26">
        <f>ROUNDUP(F26/ROUNDDOWN(D26/12,2),0)</f>
        <v>4</v>
      </c>
      <c r="I26" s="32">
        <f>ROUNDUP((J19/432)*2,0)</f>
        <v>6</v>
      </c>
      <c r="J26" s="28">
        <f>ROUNDUP((J19/432)*3,0)</f>
        <v>8</v>
      </c>
    </row>
    <row r="27" spans="1:11" x14ac:dyDescent="0.75">
      <c r="A27" s="17" t="s">
        <v>36</v>
      </c>
      <c r="C27" s="18"/>
      <c r="D27" s="3">
        <v>43</v>
      </c>
      <c r="E27" t="s">
        <v>55</v>
      </c>
      <c r="F27" s="39">
        <v>84</v>
      </c>
      <c r="G27">
        <f>ROUNDUP(F27/ROUNDDOWN(D27/12,2),0)</f>
        <v>24</v>
      </c>
    </row>
    <row r="28" spans="1:11" x14ac:dyDescent="0.75">
      <c r="A28" s="29" t="s">
        <v>36</v>
      </c>
      <c r="B28" s="36"/>
      <c r="C28" s="37"/>
      <c r="D28" s="3">
        <v>62</v>
      </c>
      <c r="E28" t="s">
        <v>58</v>
      </c>
      <c r="F28" s="39">
        <v>0</v>
      </c>
      <c r="G28">
        <f>ROUNDUP(F28/ROUNDDOWN(D28/12,2),0)</f>
        <v>0</v>
      </c>
      <c r="I28" s="45" t="s">
        <v>44</v>
      </c>
      <c r="J28" s="47"/>
      <c r="K28" s="46"/>
    </row>
    <row r="29" spans="1:11" x14ac:dyDescent="0.75">
      <c r="D29" s="3">
        <v>96</v>
      </c>
      <c r="E29" t="s">
        <v>56</v>
      </c>
      <c r="F29" s="39">
        <v>0</v>
      </c>
      <c r="G29">
        <f>ROUNDUP(F29/ROUNDDOWN(D29/12,2),0)</f>
        <v>0</v>
      </c>
      <c r="I29" s="31" t="s">
        <v>47</v>
      </c>
      <c r="J29" s="1" t="s">
        <v>45</v>
      </c>
      <c r="K29" s="16" t="s">
        <v>46</v>
      </c>
    </row>
    <row r="30" spans="1:11" x14ac:dyDescent="0.75">
      <c r="D30" s="3">
        <v>8</v>
      </c>
      <c r="E30" t="s">
        <v>57</v>
      </c>
      <c r="F30" s="39">
        <v>24</v>
      </c>
      <c r="G30">
        <f>ROUNDUP(F30/D30,0)</f>
        <v>3</v>
      </c>
      <c r="I30" s="29"/>
      <c r="J30" s="33">
        <f>ROUNDUP(J19/100,0)</f>
        <v>11</v>
      </c>
      <c r="K30" s="28">
        <f>ROUNDUP(J19/1000,0)</f>
        <v>2</v>
      </c>
    </row>
    <row r="31" spans="1:11" x14ac:dyDescent="0.75">
      <c r="D31" s="3">
        <v>12</v>
      </c>
      <c r="E31" t="s">
        <v>69</v>
      </c>
      <c r="F31" s="39">
        <v>0</v>
      </c>
      <c r="G31">
        <f>ROUNDUP(F31/D31,0)</f>
        <v>0</v>
      </c>
    </row>
    <row r="32" spans="1:11" x14ac:dyDescent="0.75">
      <c r="F32" s="4" t="s">
        <v>68</v>
      </c>
      <c r="G32">
        <f>SUM(G25:G31)</f>
        <v>35</v>
      </c>
    </row>
    <row r="34" spans="4:7" x14ac:dyDescent="0.75">
      <c r="D34" s="40" t="s">
        <v>71</v>
      </c>
      <c r="E34" s="4" t="s">
        <v>59</v>
      </c>
      <c r="F34" s="4" t="s">
        <v>3</v>
      </c>
    </row>
    <row r="35" spans="4:7" x14ac:dyDescent="0.75">
      <c r="D35" s="38">
        <v>8</v>
      </c>
      <c r="E35" t="s">
        <v>60</v>
      </c>
      <c r="F35" s="39">
        <v>0</v>
      </c>
      <c r="G35">
        <f>ROUNDUP(F35/D35,0)</f>
        <v>0</v>
      </c>
    </row>
    <row r="36" spans="4:7" x14ac:dyDescent="0.75">
      <c r="D36" s="38">
        <v>12</v>
      </c>
      <c r="E36" t="s">
        <v>61</v>
      </c>
      <c r="F36" s="39">
        <v>0</v>
      </c>
      <c r="G36">
        <f>ROUNDUP(F36/D36,0)</f>
        <v>0</v>
      </c>
    </row>
    <row r="37" spans="4:7" x14ac:dyDescent="0.75">
      <c r="D37" s="38">
        <v>7.83</v>
      </c>
      <c r="E37" t="s">
        <v>62</v>
      </c>
      <c r="F37" s="39">
        <v>0</v>
      </c>
      <c r="G37">
        <f>ROUNDUP(F37/ROUNDDOWN(D37/12,2),0)</f>
        <v>0</v>
      </c>
    </row>
    <row r="38" spans="4:7" x14ac:dyDescent="0.75">
      <c r="E38" t="s">
        <v>64</v>
      </c>
      <c r="F38" s="39">
        <v>0</v>
      </c>
      <c r="G38">
        <f>F38</f>
        <v>0</v>
      </c>
    </row>
    <row r="39" spans="4:7" x14ac:dyDescent="0.75">
      <c r="F39" t="s">
        <v>68</v>
      </c>
      <c r="G39">
        <f>SUM(G35:G38)</f>
        <v>0</v>
      </c>
    </row>
    <row r="41" spans="4:7" x14ac:dyDescent="0.75">
      <c r="E41" s="4" t="s">
        <v>63</v>
      </c>
      <c r="F41" s="4" t="s">
        <v>3</v>
      </c>
    </row>
    <row r="42" spans="4:7" x14ac:dyDescent="0.75">
      <c r="E42" t="s">
        <v>65</v>
      </c>
      <c r="F42" s="39">
        <v>0</v>
      </c>
      <c r="G42">
        <f>F42*3</f>
        <v>0</v>
      </c>
    </row>
    <row r="43" spans="4:7" x14ac:dyDescent="0.75">
      <c r="E43" t="s">
        <v>66</v>
      </c>
      <c r="F43" s="39">
        <v>0</v>
      </c>
      <c r="G43">
        <f>F43*4</f>
        <v>0</v>
      </c>
    </row>
    <row r="44" spans="4:7" x14ac:dyDescent="0.75">
      <c r="E44" t="s">
        <v>67</v>
      </c>
      <c r="F44" s="39">
        <v>0</v>
      </c>
      <c r="G44">
        <f>F44*5</f>
        <v>0</v>
      </c>
    </row>
    <row r="45" spans="4:7" x14ac:dyDescent="0.75">
      <c r="F45" s="4" t="s">
        <v>68</v>
      </c>
      <c r="G45">
        <f>SUM(G42:G44)</f>
        <v>0</v>
      </c>
    </row>
  </sheetData>
  <protectedRanges>
    <protectedRange sqref="B3:B4 F3:F4" name="Range1"/>
  </protectedRanges>
  <mergeCells count="13">
    <mergeCell ref="A1:J1"/>
    <mergeCell ref="J2:K2"/>
    <mergeCell ref="E14:G14"/>
    <mergeCell ref="I24:J24"/>
    <mergeCell ref="I28:K28"/>
    <mergeCell ref="A21:C21"/>
    <mergeCell ref="E15:F15"/>
    <mergeCell ref="A2:F2"/>
    <mergeCell ref="I14:K14"/>
    <mergeCell ref="A6:B6"/>
    <mergeCell ref="D6:E6"/>
    <mergeCell ref="G6:H6"/>
    <mergeCell ref="A14:C14"/>
  </mergeCells>
  <dataValidations disablePrompts="1" count="1">
    <dataValidation type="list" allowBlank="1" showInputMessage="1" showErrorMessage="1" sqref="D35 D30" xr:uid="{2DDABE77-0ADA-45AA-B6EA-96E875A08AF4}">
      <formula1>"8,12"</formula1>
    </dataValidation>
  </dataValidation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Phillip Bryant</dc:creator>
  <cp:lastModifiedBy>Phillip Bryant</cp:lastModifiedBy>
  <dcterms:created xsi:type="dcterms:W3CDTF">2023-08-30T02:56:51Z</dcterms:created>
  <dcterms:modified xsi:type="dcterms:W3CDTF">2023-09-05T23:24:39Z</dcterms:modified>
</cp:coreProperties>
</file>