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DA594754-888D-4713-93A0-ED6DC8778F54}" xr6:coauthVersionLast="47" xr6:coauthVersionMax="47" xr10:uidLastSave="{00000000-0000-0000-0000-000000000000}"/>
  <bookViews>
    <workbookView xWindow="12105" yWindow="3915" windowWidth="22980" windowHeight="16215" activeTab="2" xr2:uid="{5FAE8FCD-2846-40E0-935D-BB01B5FF95F0}"/>
  </bookViews>
  <sheets>
    <sheet name="Business" sheetId="4" r:id="rId1"/>
    <sheet name="Valuation" sheetId="5" r:id="rId2"/>
    <sheet name="Valuation Charts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5" l="1"/>
  <c r="E8" i="5"/>
  <c r="K8" i="5"/>
  <c r="L8" i="5"/>
  <c r="M8" i="5"/>
  <c r="N8" i="5"/>
  <c r="D2" i="5"/>
  <c r="E2" i="5"/>
  <c r="K2" i="5"/>
  <c r="L2" i="5"/>
  <c r="M2" i="5"/>
  <c r="N2" i="5"/>
  <c r="Q8" i="4"/>
  <c r="J33" i="5"/>
  <c r="I33" i="5"/>
  <c r="H33" i="5"/>
  <c r="G33" i="5"/>
  <c r="F33" i="5"/>
  <c r="Q7" i="5" l="1"/>
  <c r="J7" i="4"/>
  <c r="I7" i="4"/>
  <c r="H38" i="5" s="1"/>
  <c r="H7" i="4"/>
  <c r="G38" i="5" s="1"/>
  <c r="G7" i="4"/>
  <c r="Q7" i="4" s="1"/>
  <c r="D38" i="5"/>
  <c r="E38" i="5"/>
  <c r="N38" i="5"/>
  <c r="M38" i="5"/>
  <c r="L38" i="5"/>
  <c r="K38" i="5"/>
  <c r="J38" i="5"/>
  <c r="I38" i="5"/>
  <c r="Q8" i="5" l="1"/>
  <c r="F38" i="5"/>
  <c r="J29" i="5"/>
  <c r="J23" i="5"/>
  <c r="I23" i="5"/>
  <c r="J19" i="5"/>
  <c r="I19" i="5"/>
  <c r="H19" i="5"/>
  <c r="G19" i="5"/>
  <c r="F19" i="5"/>
  <c r="J13" i="5"/>
  <c r="I13" i="5"/>
  <c r="H13" i="5"/>
  <c r="G13" i="5"/>
  <c r="F13" i="5"/>
  <c r="Q13" i="5" l="1"/>
  <c r="F29" i="5" l="1"/>
  <c r="Q28" i="5"/>
  <c r="N22" i="5" l="1"/>
  <c r="M22" i="5"/>
  <c r="L22" i="5"/>
  <c r="K22" i="5"/>
  <c r="J22" i="5"/>
  <c r="I22" i="5"/>
  <c r="H22" i="5"/>
  <c r="G22" i="5"/>
  <c r="E22" i="5"/>
  <c r="D22" i="5"/>
  <c r="F22" i="5"/>
  <c r="F18" i="5"/>
  <c r="N29" i="5"/>
  <c r="M29" i="5"/>
  <c r="L29" i="5"/>
  <c r="K29" i="5"/>
  <c r="I29" i="5"/>
  <c r="H29" i="5"/>
  <c r="G29" i="5"/>
  <c r="E29" i="5"/>
  <c r="D29" i="5"/>
  <c r="N18" i="5"/>
  <c r="M18" i="5"/>
  <c r="L18" i="5"/>
  <c r="K18" i="5"/>
  <c r="J18" i="5"/>
  <c r="I18" i="5"/>
  <c r="H18" i="5"/>
  <c r="G18" i="5"/>
  <c r="E18" i="5"/>
  <c r="D18" i="5"/>
  <c r="N15" i="5"/>
  <c r="M15" i="5"/>
  <c r="L15" i="5"/>
  <c r="K15" i="5"/>
  <c r="J15" i="5"/>
  <c r="I15" i="5"/>
  <c r="H15" i="5"/>
  <c r="G15" i="5"/>
  <c r="E15" i="5"/>
  <c r="D15" i="5"/>
  <c r="F15" i="5"/>
  <c r="N37" i="5"/>
  <c r="M37" i="5"/>
  <c r="L37" i="5"/>
  <c r="K37" i="5"/>
  <c r="J37" i="5"/>
  <c r="I37" i="5"/>
  <c r="H37" i="5"/>
  <c r="G37" i="5"/>
  <c r="F37" i="5"/>
  <c r="E37" i="5"/>
  <c r="D37" i="5"/>
  <c r="Q16" i="5"/>
  <c r="Q22" i="5" l="1"/>
  <c r="Q15" i="5"/>
  <c r="J26" i="5"/>
  <c r="I26" i="5"/>
  <c r="I30" i="5"/>
  <c r="I31" i="5" s="1"/>
  <c r="G26" i="5"/>
  <c r="J30" i="5"/>
  <c r="J31" i="5" s="1"/>
  <c r="K26" i="5"/>
  <c r="K30" i="5"/>
  <c r="K31" i="5" s="1"/>
  <c r="L30" i="5"/>
  <c r="L31" i="5" s="1"/>
  <c r="M26" i="5"/>
  <c r="H26" i="5"/>
  <c r="M30" i="5"/>
  <c r="M31" i="5" s="1"/>
  <c r="N30" i="5"/>
  <c r="N31" i="5" s="1"/>
  <c r="F30" i="5"/>
  <c r="F31" i="5" s="1"/>
  <c r="F26" i="5"/>
  <c r="L26" i="5"/>
  <c r="N26" i="5"/>
  <c r="D26" i="5"/>
  <c r="E26" i="5"/>
  <c r="D39" i="5"/>
  <c r="H39" i="5"/>
  <c r="N39" i="5"/>
  <c r="E39" i="5"/>
  <c r="F39" i="5"/>
  <c r="G39" i="5"/>
  <c r="M39" i="5"/>
  <c r="L39" i="5"/>
  <c r="K39" i="5"/>
  <c r="J39" i="5"/>
  <c r="I39" i="5"/>
  <c r="Q18" i="5"/>
  <c r="D30" i="5"/>
  <c r="D31" i="5" s="1"/>
  <c r="H30" i="5" l="1"/>
  <c r="H31" i="5" s="1"/>
  <c r="G30" i="5"/>
  <c r="G31" i="5" s="1"/>
  <c r="E30" i="5"/>
  <c r="E31" i="5" s="1"/>
  <c r="Q26" i="5"/>
  <c r="H32" i="5"/>
  <c r="I32" i="5"/>
  <c r="F32" i="5"/>
  <c r="K32" i="5"/>
  <c r="M32" i="5"/>
  <c r="L32" i="5"/>
  <c r="N32" i="5" l="1"/>
  <c r="D32" i="5"/>
  <c r="E32" i="5"/>
  <c r="G32" i="5" l="1"/>
  <c r="J32" i="5"/>
  <c r="Q32" i="5" l="1"/>
</calcChain>
</file>

<file path=xl/sharedStrings.xml><?xml version="1.0" encoding="utf-8"?>
<sst xmlns="http://schemas.openxmlformats.org/spreadsheetml/2006/main" count="70" uniqueCount="58">
  <si>
    <t>Company</t>
  </si>
  <si>
    <t>Other Remarks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</si>
  <si>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</si>
  <si>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</si>
  <si>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</si>
  <si>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</si>
  <si>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</si>
  <si>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</si>
  <si>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</si>
  <si>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</si>
  <si>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</si>
  <si>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</si>
  <si>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Growth Rate:</t>
  </si>
  <si>
    <t>WACD</t>
  </si>
  <si>
    <t>High</t>
  </si>
  <si>
    <t>Low</t>
  </si>
  <si>
    <t>TECHNICALS</t>
  </si>
  <si>
    <t>Price Range:</t>
  </si>
  <si>
    <t>Average</t>
  </si>
  <si>
    <t>Closing</t>
  </si>
  <si>
    <t>In: 000, except per share data</t>
  </si>
  <si>
    <t>Distribution Payout Ratio</t>
  </si>
  <si>
    <t>Distribution Cover</t>
  </si>
  <si>
    <t>Property Related Expenses</t>
  </si>
  <si>
    <t>Operating Revenues</t>
  </si>
  <si>
    <t>Operating Expenses</t>
  </si>
  <si>
    <t>Depreciation and Amortisation</t>
  </si>
  <si>
    <t>Gains/Losses from Property Sales</t>
  </si>
  <si>
    <t>Capital Expenditure</t>
  </si>
  <si>
    <t>IAfD/Operating Revenues (%)</t>
  </si>
  <si>
    <t>NOI</t>
  </si>
  <si>
    <t>NPI</t>
  </si>
  <si>
    <t>FFO</t>
  </si>
  <si>
    <t>AFFO</t>
  </si>
  <si>
    <t>DPU</t>
  </si>
  <si>
    <t>Year 11</t>
  </si>
  <si>
    <t>Total Debt (000)</t>
  </si>
  <si>
    <t>Total Capital (000)</t>
  </si>
  <si>
    <t>WACE (Re=DY*Expected Growth Rate of Distributions)</t>
  </si>
  <si>
    <t>Distribution Yield (%)</t>
  </si>
  <si>
    <t>DEBT</t>
  </si>
  <si>
    <t>Financing &amp; Property Metrics</t>
  </si>
  <si>
    <t>AVERAGE</t>
  </si>
  <si>
    <t>REIT</t>
  </si>
  <si>
    <t>P&amp;L (Reporting Currency)</t>
  </si>
  <si>
    <t>Units Outstanding (in 000):</t>
  </si>
  <si>
    <t>Income Tax Expense</t>
  </si>
  <si>
    <t>Cost of Capital (000)</t>
  </si>
  <si>
    <t xml:space="preserve">Straight Line Rent Adjustment </t>
  </si>
  <si>
    <t>Other Non-Recurring Items</t>
  </si>
  <si>
    <t>Total Market Capitalisation</t>
  </si>
  <si>
    <t>Economic Earnings (000)</t>
  </si>
  <si>
    <t>Net Income (EBIT)</t>
  </si>
  <si>
    <t>Amount Available for Distribution</t>
  </si>
  <si>
    <t>Weighted Average Cost of Debt (%)</t>
  </si>
  <si>
    <t>EMA Rental Income</t>
  </si>
  <si>
    <t>WACC (%)</t>
  </si>
  <si>
    <t>ECONOMIC EARNINGS WORKING CALCULATIONS (Reporting Currency)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</si>
</sst>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2" fillId="2" borderId="0" xfId="0" applyFont="1" applyFill="1"/>
    <xf numFmtId="0" fontId="1" fillId="3" borderId="0" xfId="0" applyFont="1" applyFill="1"/>
    <xf numFmtId="0" fontId="0" fillId="0" borderId="3" xfId="0" applyBorder="1"/>
    <xf numFmtId="0" fontId="1" fillId="0" borderId="0" xfId="0" applyFont="1"/>
    <xf numFmtId="0" fontId="1" fillId="0" borderId="3" xfId="0" applyFont="1" applyBorder="1"/>
    <xf numFmtId="0" fontId="1" fillId="0" borderId="3" xfId="0" applyFont="1" applyBorder="1" applyAlignment="1">
      <alignment horizontal="left"/>
    </xf>
    <xf numFmtId="0" fontId="1" fillId="6" borderId="0" xfId="0" applyFont="1" applyFill="1" applyAlignment="1">
      <alignment horizontal="left" vertical="top"/>
    </xf>
    <xf numFmtId="0" fontId="0" fillId="6" borderId="0" xfId="0" applyFill="1" applyAlignment="1">
      <alignment horizontal="left" vertical="top"/>
    </xf>
    <xf numFmtId="17" fontId="0" fillId="6" borderId="0" xfId="0" applyNumberForma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1" fillId="6" borderId="0" xfId="0" applyFont="1" applyFill="1"/>
    <xf numFmtId="17" fontId="0" fillId="6" borderId="0" xfId="0" applyNumberForma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0" fillId="5" borderId="0" xfId="0" applyFill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4" fillId="6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3" fillId="5" borderId="0" xfId="0" applyFont="1" applyFill="1"/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center" vertical="center" wrapText="1"/>
    </xf>
    <xf numFmtId="0" fontId="5" fillId="0" borderId="0" xfId="0" applyFont="1"/>
    <xf numFmtId="0" fontId="1" fillId="6" borderId="3" xfId="0" applyFont="1" applyFill="1" applyBorder="1"/>
    <xf numFmtId="0" fontId="0" fillId="7" borderId="0" xfId="0" applyFill="1" applyAlignment="1">
      <alignment horizontal="left" vertical="top"/>
    </xf>
    <xf numFmtId="0" fontId="0" fillId="7" borderId="0" xfId="0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4" borderId="0" xfId="0" applyFill="1" applyAlignment="1">
      <alignment horizontal="center" vertical="center" wrapText="1"/>
    </xf>
    <xf numFmtId="3" fontId="0" fillId="0" borderId="0" xfId="0" applyNumberFormat="1"/>
    <xf numFmtId="0" fontId="1" fillId="6" borderId="3" xfId="0" applyFont="1" applyFill="1" applyBorder="1" applyAlignment="1">
      <alignment horizontal="left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left" vertical="top"/>
    </xf>
    <xf numFmtId="3" fontId="0" fillId="5" borderId="0" xfId="0" applyNumberFormat="1" applyFill="1" applyAlignment="1">
      <alignment horizontal="left" vertical="top"/>
    </xf>
    <xf numFmtId="0" fontId="4" fillId="7" borderId="0" xfId="0" applyFont="1" applyFill="1" applyAlignment="1">
      <alignment horizontal="left" vertical="top"/>
    </xf>
    <xf numFmtId="0" fontId="1" fillId="0" borderId="1" xfId="0" applyFont="1" applyBorder="1"/>
    <xf numFmtId="0" fontId="1" fillId="0" borderId="2" xfId="0" applyFont="1" applyBorder="1"/>
    <xf numFmtId="0" fontId="1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/>
              <a:t>P&amp;L (000)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Valuation!$A$13</c:f>
              <c:strCache>
                <c:ptCount val="1"/>
                <c:pt idx="0">
                  <c:v>EMA Rental Income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Valuation!$B$13:$N$13</c:f>
              <c:numCache>
                <c:formatCode>General</c:formatCode>
                <c:ptCount val="13"/>
                <c:pt idx="4">
                  <c:v>594700</c:v>
                </c:pt>
                <c:pt idx="5">
                  <c:v>611900</c:v>
                </c:pt>
                <c:pt idx="6">
                  <c:v>579800</c:v>
                </c:pt>
                <c:pt idx="7">
                  <c:v>617600</c:v>
                </c:pt>
                <c:pt idx="8">
                  <c:v>444700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08A9-47BD-BCAE-9277CB45BC6B}"/>
            </c:ext>
          </c:extLst>
        </c:ser>
        <c:ser>
          <c:idx val="10"/>
          <c:order val="9"/>
          <c:tx>
            <c:strRef>
              <c:f>Valuation!$A$22</c:f>
              <c:strCache>
                <c:ptCount val="1"/>
                <c:pt idx="0">
                  <c:v>FFO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Valuation!$B$22:$N$22</c:f>
              <c:numCache>
                <c:formatCode>General</c:formatCode>
                <c:ptCount val="13"/>
                <c:pt idx="2">
                  <c:v>0</c:v>
                </c:pt>
                <c:pt idx="3">
                  <c:v>0</c:v>
                </c:pt>
                <c:pt idx="4">
                  <c:v>-9328</c:v>
                </c:pt>
                <c:pt idx="5">
                  <c:v>62355</c:v>
                </c:pt>
                <c:pt idx="6">
                  <c:v>-25288</c:v>
                </c:pt>
                <c:pt idx="7">
                  <c:v>95080</c:v>
                </c:pt>
                <c:pt idx="8">
                  <c:v>170375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C-08A9-47BD-BCAE-9277CB45BC6B}"/>
            </c:ext>
          </c:extLst>
        </c:ser>
        <c:ser>
          <c:idx val="14"/>
          <c:order val="13"/>
          <c:tx>
            <c:strRef>
              <c:f>Valuation!$A$26</c:f>
              <c:strCache>
                <c:ptCount val="1"/>
                <c:pt idx="0">
                  <c:v>AFFO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Valuation!$B$26:$N$26</c:f>
              <c:numCache>
                <c:formatCode>General</c:formatCode>
                <c:ptCount val="13"/>
                <c:pt idx="2">
                  <c:v>0</c:v>
                </c:pt>
                <c:pt idx="3">
                  <c:v>0</c:v>
                </c:pt>
                <c:pt idx="4">
                  <c:v>-5558</c:v>
                </c:pt>
                <c:pt idx="5">
                  <c:v>68176</c:v>
                </c:pt>
                <c:pt idx="6">
                  <c:v>-20597</c:v>
                </c:pt>
                <c:pt idx="7">
                  <c:v>117399</c:v>
                </c:pt>
                <c:pt idx="8">
                  <c:v>119925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F-08A9-47BD-BCAE-9277CB45BC6B}"/>
            </c:ext>
          </c:extLst>
        </c:ser>
        <c:ser>
          <c:idx val="16"/>
          <c:order val="15"/>
          <c:tx>
            <c:strRef>
              <c:f>Valuation!$A$28</c:f>
              <c:strCache>
                <c:ptCount val="1"/>
                <c:pt idx="0">
                  <c:v>Amount Available for Distribution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Valuation!$B$28:$N$28</c:f>
              <c:numCache>
                <c:formatCode>General</c:formatCode>
                <c:ptCount val="13"/>
                <c:pt idx="4">
                  <c:v>88503</c:v>
                </c:pt>
                <c:pt idx="5">
                  <c:v>86199</c:v>
                </c:pt>
                <c:pt idx="6">
                  <c:v>78735</c:v>
                </c:pt>
                <c:pt idx="7">
                  <c:v>77927</c:v>
                </c:pt>
                <c:pt idx="8">
                  <c:v>71958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0-08A9-47BD-BCAE-9277CB45BC6B}"/>
            </c:ext>
          </c:extLst>
        </c:ser>
        <c:ser>
          <c:idx val="19"/>
          <c:order val="19"/>
          <c:tx>
            <c:strRef>
              <c:f>Valuation!$A$32</c:f>
              <c:strCache>
                <c:ptCount val="1"/>
                <c:pt idx="0">
                  <c:v>Economic Earnings (000)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Valuation!$B$32:$N$32</c:f>
              <c:numCache>
                <c:formatCode>General</c:formatCode>
                <c:ptCount val="13"/>
                <c:pt idx="2" formatCode="#,##0">
                  <c:v>0</c:v>
                </c:pt>
                <c:pt idx="3" formatCode="#,##0">
                  <c:v>0</c:v>
                </c:pt>
                <c:pt idx="4" formatCode="#,##0">
                  <c:v>-129104.81784099826</c:v>
                </c:pt>
                <c:pt idx="5" formatCode="#,##0">
                  <c:v>-83744.723117907197</c:v>
                </c:pt>
                <c:pt idx="6">
                  <c:v>-137566.15263060946</c:v>
                </c:pt>
                <c:pt idx="7">
                  <c:v>-32046.499751323165</c:v>
                </c:pt>
                <c:pt idx="8" formatCode="#,##0">
                  <c:v>-9810.839109944056</c:v>
                </c:pt>
                <c:pt idx="9" formatCode="#,##0">
                  <c:v>0</c:v>
                </c:pt>
                <c:pt idx="10" formatCode="#,##0">
                  <c:v>0</c:v>
                </c:pt>
                <c:pt idx="11" formatCode="#,##0">
                  <c:v>0</c:v>
                </c:pt>
                <c:pt idx="12" formatCode="#,##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F7-4D7B-BCBA-9A64029D4B1D}"/>
            </c:ext>
          </c:extLst>
        </c:ser>
        <c:ser>
          <c:idx val="20"/>
          <c:order val="20"/>
          <c:tx>
            <c:strRef>
              <c:f>Valuation!$A$33</c:f>
              <c:strCache>
                <c:ptCount val="1"/>
                <c:pt idx="0">
                  <c:v>Units Outstanding (in 000):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Valuation!$D$11:$N$12</c:f>
              <c:strCache>
                <c:ptCount val="11"/>
                <c:pt idx="0">
                  <c:v>Dec-24</c:v>
                </c:pt>
                <c:pt idx="1">
                  <c:v>Dec-23</c:v>
                </c:pt>
                <c:pt idx="2">
                  <c:v>Dec-22</c:v>
                </c:pt>
                <c:pt idx="3">
                  <c:v>Dec-21</c:v>
                </c:pt>
                <c:pt idx="4">
                  <c:v>Dec-20</c:v>
                </c:pt>
                <c:pt idx="5">
                  <c:v>Dec-19</c:v>
                </c:pt>
                <c:pt idx="6">
                  <c:v>Dec-18</c:v>
                </c:pt>
                <c:pt idx="7">
                  <c:v>Dec-17</c:v>
                </c:pt>
                <c:pt idx="8">
                  <c:v>Dec-16</c:v>
                </c:pt>
                <c:pt idx="9">
                  <c:v>Dec-15</c:v>
                </c:pt>
                <c:pt idx="10">
                  <c:v>Dec-14</c:v>
                </c:pt>
              </c:strCache>
            </c:strRef>
          </c:cat>
          <c:val>
            <c:numRef>
              <c:f>Valuation!$B$33:$N$33</c:f>
              <c:numCache>
                <c:formatCode>General</c:formatCode>
                <c:ptCount val="13"/>
                <c:pt idx="4">
                  <c:v>1231092.058</c:v>
                </c:pt>
                <c:pt idx="5">
                  <c:v>1222205</c:v>
                </c:pt>
                <c:pt idx="6">
                  <c:v>1200661</c:v>
                </c:pt>
                <c:pt idx="7">
                  <c:v>1196494.243</c:v>
                </c:pt>
                <c:pt idx="8">
                  <c:v>1180280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F7-4D7B-BCBA-9A64029D4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862512"/>
        <c:axId val="419862992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Valuation!$A$14</c15:sqref>
                        </c15:formulaRef>
                      </c:ext>
                    </c:extLst>
                    <c:strCache>
                      <c:ptCount val="1"/>
                      <c:pt idx="0">
                        <c:v>Property Related Expenses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Valuation!$B$14:$N$14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08A9-47BD-BCAE-9277CB45BC6B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Valuation!$A$15</c15:sqref>
                        </c15:formulaRef>
                      </c:ext>
                    </c:extLst>
                    <c:strCache>
                      <c:ptCount val="1"/>
                      <c:pt idx="0">
                        <c:v>NPI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Valuation!$B$15:$N$15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0</c:v>
                      </c:pt>
                      <c:pt idx="3">
                        <c:v>0</c:v>
                      </c:pt>
                      <c:pt idx="4">
                        <c:v>594700</c:v>
                      </c:pt>
                      <c:pt idx="5">
                        <c:v>611900</c:v>
                      </c:pt>
                      <c:pt idx="6">
                        <c:v>579800</c:v>
                      </c:pt>
                      <c:pt idx="7">
                        <c:v>617600</c:v>
                      </c:pt>
                      <c:pt idx="8">
                        <c:v>444700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8A9-47BD-BCAE-9277CB45BC6B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Valuation!$A$16</c15:sqref>
                        </c15:formulaRef>
                      </c:ext>
                    </c:extLst>
                    <c:strCache>
                      <c:ptCount val="1"/>
                      <c:pt idx="0">
                        <c:v>Operating Revenues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Valuation!$B$16:$N$16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8A9-47BD-BCAE-9277CB45BC6B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Valuation!$A$17</c15:sqref>
                        </c15:formulaRef>
                      </c:ext>
                    </c:extLst>
                    <c:strCache>
                      <c:ptCount val="1"/>
                      <c:pt idx="0">
                        <c:v>Operating Expenses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Valuation!$B$17:$N$17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8A9-47BD-BCAE-9277CB45BC6B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Valuation!$A$18</c15:sqref>
                        </c15:formulaRef>
                      </c:ext>
                    </c:extLst>
                    <c:strCache>
                      <c:ptCount val="1"/>
                      <c:pt idx="0">
                        <c:v>NOI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Valuation!$B$18:$N$18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8A9-47BD-BCAE-9277CB45BC6B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Valuation!$A$19</c15:sqref>
                        </c15:formulaRef>
                      </c:ext>
                    </c:extLst>
                    <c:strCache>
                      <c:ptCount val="1"/>
                      <c:pt idx="0">
                        <c:v>Net Income (EBIT)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Valuation!$B$19:$N$19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4">
                        <c:v>63235</c:v>
                      </c:pt>
                      <c:pt idx="5" formatCode="#,##0">
                        <c:v>125909</c:v>
                      </c:pt>
                      <c:pt idx="6">
                        <c:v>118003</c:v>
                      </c:pt>
                      <c:pt idx="7">
                        <c:v>108296</c:v>
                      </c:pt>
                      <c:pt idx="8">
                        <c:v>98704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8A9-47BD-BCAE-9277CB45BC6B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Valuation!$A$20</c15:sqref>
                        </c15:formulaRef>
                      </c:ext>
                    </c:extLst>
                    <c:strCache>
                      <c:ptCount val="1"/>
                      <c:pt idx="0">
                        <c:v>Depreciation and Amortisation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Valuation!$B$20:$N$20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4" formatCode="#,##0">
                        <c:v>-9328</c:v>
                      </c:pt>
                      <c:pt idx="5" formatCode="#,##0">
                        <c:v>62355</c:v>
                      </c:pt>
                      <c:pt idx="6" formatCode="#,##0">
                        <c:v>-25288</c:v>
                      </c:pt>
                      <c:pt idx="7" formatCode="#,##0">
                        <c:v>95080</c:v>
                      </c:pt>
                      <c:pt idx="8" formatCode="#,##0">
                        <c:v>170375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8A9-47BD-BCAE-9277CB45BC6B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Valuation!$A$21</c15:sqref>
                        </c15:formulaRef>
                      </c:ext>
                    </c:extLst>
                    <c:strCache>
                      <c:ptCount val="1"/>
                      <c:pt idx="0">
                        <c:v>Gains/Losses from Property Sales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Valuation!$B$21:$N$21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8A9-47BD-BCAE-9277CB45BC6B}"/>
                  </c:ext>
                </c:extLst>
              </c15:ser>
            </c15:filteredLineSeries>
            <c15:filteredLineSeries>
              <c15:ser>
                <c:idx val="11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Valuation!$A$23</c15:sqref>
                        </c15:formulaRef>
                      </c:ext>
                    </c:extLst>
                    <c:strCache>
                      <c:ptCount val="1"/>
                      <c:pt idx="0">
                        <c:v>Capital Expenditure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Valuation!$B$23:$N$23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4" formatCode="#,##0">
                        <c:v>-3770</c:v>
                      </c:pt>
                      <c:pt idx="5" formatCode="#,##0">
                        <c:v>-5821</c:v>
                      </c:pt>
                      <c:pt idx="6" formatCode="#,##0">
                        <c:v>-4691</c:v>
                      </c:pt>
                      <c:pt idx="7">
                        <c:v>-22319</c:v>
                      </c:pt>
                      <c:pt idx="8">
                        <c:v>50450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8A9-47BD-BCAE-9277CB45BC6B}"/>
                  </c:ext>
                </c:extLst>
              </c15:ser>
            </c15:filteredLineSeries>
            <c15:filteredLineSeries>
              <c15:ser>
                <c:idx val="12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Valuation!$A$24</c15:sqref>
                        </c15:formulaRef>
                      </c:ext>
                    </c:extLst>
                    <c:strCache>
                      <c:ptCount val="1"/>
                      <c:pt idx="0">
                        <c:v>Straight Line Rent Adjustment 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Valuation!$B$24:$N$24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8A9-47BD-BCAE-9277CB45BC6B}"/>
                  </c:ext>
                </c:extLst>
              </c15:ser>
            </c15:filteredLineSeries>
            <c15:filteredLineSeries>
              <c15:ser>
                <c:idx val="13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Valuation!$A$25</c15:sqref>
                        </c15:formulaRef>
                      </c:ext>
                    </c:extLst>
                    <c:strCache>
                      <c:ptCount val="1"/>
                      <c:pt idx="0">
                        <c:v>Other Non-Recurring Items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Valuation!$B$25:$N$25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8A9-47BD-BCAE-9277CB45BC6B}"/>
                  </c:ext>
                </c:extLst>
              </c15:ser>
            </c15:filteredLineSeries>
            <c15:filteredLineSeries>
              <c15:ser>
                <c:idx val="15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Valuation!$A$27</c15:sqref>
                        </c15:formulaRef>
                      </c:ext>
                    </c:extLst>
                    <c:strCache>
                      <c:ptCount val="1"/>
                      <c:pt idx="0">
                        <c:v>Income Tax Expense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Valuation!$B$27:$N$27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4" formatCode="#,##0">
                        <c:v>-18089</c:v>
                      </c:pt>
                      <c:pt idx="5" formatCode="#,##0">
                        <c:v>-41298</c:v>
                      </c:pt>
                      <c:pt idx="6" formatCode="#,##0">
                        <c:v>-17216</c:v>
                      </c:pt>
                      <c:pt idx="7" formatCode="#,##0">
                        <c:v>-49250</c:v>
                      </c:pt>
                      <c:pt idx="8" formatCode="#,##0">
                        <c:v>-68699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8A9-47BD-BCAE-9277CB45BC6B}"/>
                  </c:ext>
                </c:extLst>
              </c15:ser>
            </c15:filteredLineSeries>
            <c15:filteredLineSeries>
              <c15:ser>
                <c:idx val="17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Valuation!$A$29</c15:sqref>
                        </c15:formulaRef>
                      </c:ext>
                    </c:extLst>
                    <c:strCache>
                      <c:ptCount val="1"/>
                      <c:pt idx="0">
                        <c:v>IAfD/Operating Revenues (%)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Valuation!$B$29:$N$29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08A9-47BD-BCAE-9277CB45BC6B}"/>
                  </c:ext>
                </c:extLst>
              </c15:ser>
            </c15:filteredLineSeries>
            <c15:filteredLineSeries>
              <c15:ser>
                <c:idx val="18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Valuation!$A$30</c15:sqref>
                        </c15:formulaRef>
                      </c:ext>
                    </c:extLst>
                    <c:strCache>
                      <c:ptCount val="1"/>
                      <c:pt idx="0">
                        <c:v>Distribution Payout Ratio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80000"/>
                      </a:schemeClr>
                    </a:solidFill>
                    <a:ln w="9525">
                      <a:solidFill>
                        <a:schemeClr val="accent1">
                          <a:lumMod val="80000"/>
                        </a:schemeClr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Valuation!$B$30:$N$30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BF7-4D7B-BCBA-9A64029D4B1D}"/>
                  </c:ext>
                </c:extLst>
              </c15:ser>
            </c15:filteredLineSeries>
            <c15:filteredLineSeries>
              <c15:ser>
                <c:idx val="0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Valuation!$A$31</c15:sqref>
                        </c15:formulaRef>
                      </c:ext>
                    </c:extLst>
                    <c:strCache>
                      <c:ptCount val="1"/>
                      <c:pt idx="0">
                        <c:v>Distribution Cover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Valuation!$D$11:$N$12</c15:sqref>
                        </c15:formulaRef>
                      </c:ext>
                    </c:extLst>
                    <c:strCache>
                      <c:ptCount val="11"/>
                      <c:pt idx="0">
                        <c:v>Dec-24</c:v>
                      </c:pt>
                      <c:pt idx="1">
                        <c:v>Dec-23</c:v>
                      </c:pt>
                      <c:pt idx="2">
                        <c:v>Dec-22</c:v>
                      </c:pt>
                      <c:pt idx="3">
                        <c:v>Dec-21</c:v>
                      </c:pt>
                      <c:pt idx="4">
                        <c:v>Dec-20</c:v>
                      </c:pt>
                      <c:pt idx="5">
                        <c:v>Dec-19</c:v>
                      </c:pt>
                      <c:pt idx="6">
                        <c:v>Dec-18</c:v>
                      </c:pt>
                      <c:pt idx="7">
                        <c:v>Dec-17</c:v>
                      </c:pt>
                      <c:pt idx="8">
                        <c:v>Dec-16</c:v>
                      </c:pt>
                      <c:pt idx="9">
                        <c:v>Dec-15</c:v>
                      </c:pt>
                      <c:pt idx="10">
                        <c:v>Dec-14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Valuation!$B$31:$N$31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8A9-47BD-BCAE-9277CB45BC6B}"/>
                  </c:ext>
                </c:extLst>
              </c15:ser>
            </c15:filteredLineSeries>
          </c:ext>
        </c:extLst>
      </c:lineChart>
      <c:dateAx>
        <c:axId val="419862512"/>
        <c:scaling>
          <c:orientation val="minMax"/>
        </c:scaling>
        <c:delete val="0"/>
        <c:axPos val="t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419862992"/>
        <c:crosses val="max"/>
        <c:auto val="1"/>
        <c:lblOffset val="100"/>
        <c:baseTimeUnit val="years"/>
      </c:dateAx>
      <c:valAx>
        <c:axId val="419862992"/>
        <c:scaling>
          <c:orientation val="minMax"/>
          <c:min val="-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4198625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0</xdr:row>
      <xdr:rowOff>190499</xdr:rowOff>
    </xdr:from>
    <xdr:to>
      <xdr:col>18</xdr:col>
      <xdr:colOff>600074</xdr:colOff>
      <xdr:row>33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2E9FDF-0A07-4042-8BD9-3A2B885177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  <wetp:taskpane dockstate="right" visibility="0" width="350" row="4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700920E4-AAD4-439B-BC9A-870BF34525B2}">
  <we:reference id="wa200004894" version="1.0.0.0" store="en-US" storeType="OMEX"/>
  <we:alternateReferences>
    <we:reference id="wa200004894" version="1.0.0.0" store="WA200004894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3A50888E-7285-428C-B273-3364B2747AF9}">
  <we:reference id="wa200001584" version="2.6.0.0" store="en-US" storeType="OMEX"/>
  <we:alternateReferences>
    <we:reference id="wa200001584" version="2.6.0.0" store="WA2000015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BF2B1-6723-4AEB-8DF8-1677CF58B265}">
  <sheetPr>
    <pageSetUpPr fitToPage="1"/>
  </sheetPr>
  <dimension ref="A2:X8"/>
  <sheetViews>
    <sheetView view="pageLayout" zoomScaleNormal="100" workbookViewId="0">
      <selection activeCell="D15" sqref="D15"/>
    </sheetView>
  </sheetViews>
  <sheetFormatPr defaultRowHeight="15" x14ac:dyDescent="0.25"/>
  <cols>
    <col min="5" max="5" width="13" customWidth="1"/>
  </cols>
  <sheetData>
    <row r="2" spans="1:24" x14ac:dyDescent="0.25">
      <c r="A2" s="2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x14ac:dyDescent="0.25">
      <c r="A3" s="3"/>
      <c r="B3" s="3"/>
      <c r="C3" s="3"/>
      <c r="D3" s="3"/>
      <c r="E3" s="3" t="s">
        <v>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 t="s">
        <v>43</v>
      </c>
      <c r="R3" s="3" t="s">
        <v>1</v>
      </c>
      <c r="S3" s="3"/>
      <c r="T3" s="3"/>
      <c r="U3" s="3"/>
      <c r="V3" s="3"/>
      <c r="W3" s="3"/>
      <c r="X3" s="3"/>
    </row>
    <row r="4" spans="1:24" x14ac:dyDescent="0.25">
      <c r="A4" s="3"/>
      <c r="B4" s="3"/>
      <c r="C4" s="3"/>
      <c r="D4" s="3"/>
      <c r="E4" s="3" t="s">
        <v>35</v>
      </c>
      <c r="F4" s="3" t="s">
        <v>11</v>
      </c>
      <c r="G4" s="3" t="s">
        <v>10</v>
      </c>
      <c r="H4" s="3" t="s">
        <v>9</v>
      </c>
      <c r="I4" s="3" t="s">
        <v>8</v>
      </c>
      <c r="J4" s="3" t="s">
        <v>7</v>
      </c>
      <c r="K4" s="3" t="s">
        <v>6</v>
      </c>
      <c r="L4" s="3" t="s">
        <v>5</v>
      </c>
      <c r="M4" s="3" t="s">
        <v>4</v>
      </c>
      <c r="N4" s="3" t="s">
        <v>3</v>
      </c>
      <c r="O4" s="3" t="s">
        <v>2</v>
      </c>
      <c r="P4" s="3"/>
      <c r="Q4" s="3" t="s">
        <v>42</v>
      </c>
      <c r="R4" s="3"/>
      <c r="S4" s="3"/>
      <c r="T4" s="3"/>
      <c r="U4" s="3"/>
      <c r="V4" s="3"/>
      <c r="W4" s="3"/>
      <c r="X4" s="3"/>
    </row>
    <row r="5" spans="1:24" x14ac:dyDescent="0.25">
      <c r="A5" s="3"/>
      <c r="B5" s="3"/>
      <c r="C5" s="3"/>
      <c r="D5" s="3"/>
      <c r="E5" s="14">
        <v>45627</v>
      </c>
      <c r="F5" s="10">
        <v>44986</v>
      </c>
      <c r="G5" s="10">
        <v>44896</v>
      </c>
      <c r="H5" s="10">
        <v>44531</v>
      </c>
      <c r="I5" s="10">
        <v>44166</v>
      </c>
      <c r="J5" s="10">
        <v>43800</v>
      </c>
      <c r="K5" s="10">
        <v>43435</v>
      </c>
      <c r="L5" s="10">
        <v>43070</v>
      </c>
      <c r="M5" s="10">
        <v>42705</v>
      </c>
      <c r="N5" s="10">
        <v>42339</v>
      </c>
      <c r="O5" s="10">
        <v>41974</v>
      </c>
      <c r="P5" s="3"/>
      <c r="Q5" s="3"/>
      <c r="R5" s="3"/>
      <c r="S5" s="3"/>
      <c r="T5" s="3"/>
      <c r="U5" s="3"/>
      <c r="V5" s="3"/>
      <c r="W5" s="3"/>
      <c r="X5" s="3"/>
    </row>
    <row r="6" spans="1:24" x14ac:dyDescent="0.25">
      <c r="A6" s="23" t="s">
        <v>40</v>
      </c>
      <c r="B6" s="5"/>
      <c r="C6" s="5"/>
      <c r="D6" s="5"/>
      <c r="E6" s="21"/>
      <c r="F6" s="22"/>
      <c r="G6" s="22"/>
      <c r="H6" s="22"/>
      <c r="I6" s="22"/>
      <c r="J6" s="22"/>
      <c r="K6" s="22"/>
      <c r="L6" s="10"/>
      <c r="M6" s="22"/>
      <c r="N6" s="22"/>
      <c r="O6" s="22"/>
      <c r="P6" s="5"/>
      <c r="Q6" s="13"/>
      <c r="R6" s="13"/>
      <c r="S6" s="13"/>
      <c r="T6" s="13"/>
      <c r="U6" s="5"/>
      <c r="V6" s="5"/>
      <c r="W6" s="5"/>
      <c r="X6" s="5"/>
    </row>
    <row r="7" spans="1:24" x14ac:dyDescent="0.25">
      <c r="A7" s="5" t="s">
        <v>36</v>
      </c>
      <c r="B7" s="5"/>
      <c r="C7" s="5"/>
      <c r="D7" s="5"/>
      <c r="E7" s="12"/>
      <c r="F7" s="1"/>
      <c r="G7" s="1">
        <f>488.3*1000</f>
        <v>488300</v>
      </c>
      <c r="H7" s="1">
        <f>518.6*1000</f>
        <v>518600</v>
      </c>
      <c r="I7" s="1">
        <f>518.5*1000</f>
        <v>518500</v>
      </c>
      <c r="J7" s="1">
        <f>478.6*1000</f>
        <v>478600</v>
      </c>
      <c r="K7" s="1">
        <v>512.6</v>
      </c>
      <c r="L7" s="11"/>
      <c r="M7" s="1"/>
      <c r="N7" s="1"/>
      <c r="O7" s="1"/>
      <c r="P7" s="5"/>
      <c r="Q7" s="24">
        <f>SUM(G7:K7)/5</f>
        <v>400902.52</v>
      </c>
      <c r="R7" s="13"/>
      <c r="S7" s="13"/>
      <c r="T7" s="13"/>
      <c r="U7" s="5"/>
      <c r="V7" s="5"/>
      <c r="W7" s="5"/>
      <c r="X7" s="5"/>
    </row>
    <row r="8" spans="1:24" s="4" customFormat="1" x14ac:dyDescent="0.25">
      <c r="A8" s="35" t="s">
        <v>54</v>
      </c>
      <c r="B8" s="36"/>
      <c r="C8" s="36"/>
      <c r="D8" s="37"/>
      <c r="E8" s="7"/>
      <c r="F8" s="7"/>
      <c r="G8" s="7">
        <v>4.9000000000000004</v>
      </c>
      <c r="H8" s="7">
        <v>4.4000000000000004</v>
      </c>
      <c r="I8" s="7">
        <v>3.9</v>
      </c>
      <c r="J8" s="7">
        <v>4.4000000000000004</v>
      </c>
      <c r="K8" s="7">
        <v>5.4</v>
      </c>
      <c r="L8" s="30"/>
      <c r="M8" s="7"/>
      <c r="N8" s="7"/>
      <c r="O8" s="7"/>
      <c r="P8" s="6"/>
      <c r="Q8" s="24">
        <f>SUM(G8:K8)/5</f>
        <v>4.5999999999999996</v>
      </c>
      <c r="R8" s="24"/>
      <c r="S8" s="24"/>
      <c r="T8" s="24"/>
      <c r="U8" s="6"/>
      <c r="V8" s="6"/>
      <c r="W8" s="6"/>
      <c r="X8" s="6"/>
    </row>
  </sheetData>
  <mergeCells count="1">
    <mergeCell ref="A8:D8"/>
  </mergeCells>
  <pageMargins left="0.7" right="0.7" top="0.75" bottom="0.75" header="0.3" footer="0.3"/>
  <pageSetup scale="54" fitToHeight="0" orientation="landscape" r:id="rId1"/>
  <headerFooter>
    <oddHeader>&amp;CREIT Mission and Management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4748A-757E-4A71-85BB-40F5FF246ABD}">
  <sheetPr>
    <pageSetUpPr fitToPage="1"/>
  </sheetPr>
  <dimension ref="A1:Q46"/>
  <sheetViews>
    <sheetView view="pageLayout" topLeftCell="A26" zoomScale="98" zoomScaleNormal="100" zoomScalePageLayoutView="98" workbookViewId="0">
      <selection activeCell="F33" sqref="F33"/>
    </sheetView>
  </sheetViews>
  <sheetFormatPr defaultRowHeight="15" x14ac:dyDescent="0.25"/>
  <cols>
    <col min="3" max="3" width="11.140625" customWidth="1"/>
    <col min="6" max="6" width="12.28515625" bestFit="1" customWidth="1"/>
    <col min="9" max="9" width="11.7109375" bestFit="1" customWidth="1"/>
    <col min="10" max="10" width="11.140625" bestFit="1" customWidth="1"/>
    <col min="17" max="17" width="11.7109375" bestFit="1" customWidth="1"/>
  </cols>
  <sheetData>
    <row r="1" spans="1:17" x14ac:dyDescent="0.25">
      <c r="A1" s="8" t="s">
        <v>16</v>
      </c>
      <c r="B1" s="9"/>
      <c r="C1" s="9"/>
      <c r="D1" s="14">
        <v>45627</v>
      </c>
      <c r="E1" s="10">
        <v>44986</v>
      </c>
      <c r="F1" s="10">
        <v>44896</v>
      </c>
      <c r="G1" s="10">
        <v>44531</v>
      </c>
      <c r="H1" s="10">
        <v>44166</v>
      </c>
      <c r="I1" s="10">
        <v>43800</v>
      </c>
      <c r="J1" s="10">
        <v>43435</v>
      </c>
      <c r="K1" s="10">
        <v>43070</v>
      </c>
      <c r="L1" s="10">
        <v>42705</v>
      </c>
      <c r="M1" s="10">
        <v>42339</v>
      </c>
      <c r="N1" s="10">
        <v>41974</v>
      </c>
    </row>
    <row r="2" spans="1:17" x14ac:dyDescent="0.25">
      <c r="A2" s="12" t="s">
        <v>17</v>
      </c>
      <c r="B2" s="12" t="s">
        <v>18</v>
      </c>
      <c r="C2" s="12"/>
      <c r="D2" s="1">
        <f>(D4+D5)/2</f>
        <v>0</v>
      </c>
      <c r="E2" s="1">
        <f t="shared" ref="E2:N2" si="0">(E4+E5)/2</f>
        <v>0</v>
      </c>
      <c r="F2" s="1">
        <v>0.77249999999999996</v>
      </c>
      <c r="G2" s="1">
        <v>0.89</v>
      </c>
      <c r="H2" s="1">
        <v>0.73</v>
      </c>
      <c r="I2" s="1">
        <v>0.77500000000000002</v>
      </c>
      <c r="J2" s="1">
        <v>0.72500000000000009</v>
      </c>
      <c r="K2" s="11">
        <f t="shared" si="0"/>
        <v>0</v>
      </c>
      <c r="L2" s="1">
        <f t="shared" si="0"/>
        <v>0</v>
      </c>
      <c r="M2" s="1">
        <f t="shared" si="0"/>
        <v>0</v>
      </c>
      <c r="N2" s="1">
        <f t="shared" si="0"/>
        <v>0</v>
      </c>
    </row>
    <row r="3" spans="1:17" x14ac:dyDescent="0.25">
      <c r="A3" s="12"/>
      <c r="B3" s="12" t="s">
        <v>19</v>
      </c>
      <c r="C3" s="12"/>
      <c r="D3" s="1"/>
      <c r="E3" s="1"/>
      <c r="F3" s="1">
        <v>0.755</v>
      </c>
      <c r="G3" s="1">
        <v>0.84499999999999997</v>
      </c>
      <c r="H3" s="1">
        <v>0.82</v>
      </c>
      <c r="I3" s="1">
        <v>0.88500000000000001</v>
      </c>
      <c r="J3" s="1">
        <v>0.65</v>
      </c>
      <c r="K3" s="11"/>
      <c r="L3" s="11"/>
      <c r="M3" s="11"/>
      <c r="N3" s="11"/>
    </row>
    <row r="4" spans="1:17" x14ac:dyDescent="0.25">
      <c r="A4" s="12"/>
      <c r="B4" s="12" t="s">
        <v>14</v>
      </c>
      <c r="C4" s="12"/>
      <c r="D4" s="12"/>
      <c r="E4" s="1"/>
      <c r="F4" s="1">
        <v>0.875</v>
      </c>
      <c r="G4" s="1">
        <v>0.97</v>
      </c>
      <c r="H4" s="1">
        <v>0.92500000000000004</v>
      </c>
      <c r="I4" s="1">
        <v>0.91500000000000004</v>
      </c>
      <c r="J4" s="1">
        <v>0.8</v>
      </c>
      <c r="K4" s="11"/>
      <c r="L4" s="1"/>
      <c r="M4" s="1"/>
      <c r="N4" s="1"/>
    </row>
    <row r="5" spans="1:17" x14ac:dyDescent="0.25">
      <c r="A5" s="12"/>
      <c r="B5" s="12" t="s">
        <v>15</v>
      </c>
      <c r="C5" s="12"/>
      <c r="D5" s="12"/>
      <c r="E5" s="1"/>
      <c r="F5" s="1">
        <v>0.67</v>
      </c>
      <c r="G5" s="1">
        <v>0.81</v>
      </c>
      <c r="H5" s="1">
        <v>0.53500000000000003</v>
      </c>
      <c r="I5" s="1">
        <v>0.63500000000000001</v>
      </c>
      <c r="J5" s="1">
        <v>0.65</v>
      </c>
      <c r="K5" s="11"/>
      <c r="L5" s="1"/>
      <c r="M5" s="1"/>
      <c r="N5" s="1"/>
    </row>
    <row r="6" spans="1:17" x14ac:dyDescent="0.25">
      <c r="A6" s="9"/>
      <c r="B6" s="9"/>
      <c r="C6" s="9"/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7" s="16" customFormat="1" ht="29.25" customHeight="1" x14ac:dyDescent="0.25">
      <c r="A7" s="15">
        <v>6</v>
      </c>
      <c r="B7" s="15" t="s">
        <v>34</v>
      </c>
      <c r="C7" s="15"/>
      <c r="D7" s="15"/>
      <c r="E7" s="15"/>
      <c r="F7" s="15">
        <v>6.5500000000000003E-2</v>
      </c>
      <c r="G7" s="15">
        <v>7.1040000000000006E-2</v>
      </c>
      <c r="H7" s="15">
        <v>6.5449999999999994E-2</v>
      </c>
      <c r="I7" s="15">
        <v>6.5329999999999999E-2</v>
      </c>
      <c r="J7" s="15">
        <v>5.1279999999999999E-2</v>
      </c>
      <c r="K7" s="15"/>
      <c r="L7" s="15"/>
      <c r="M7" s="15"/>
      <c r="N7" s="15"/>
      <c r="P7" s="16" t="s">
        <v>12</v>
      </c>
      <c r="Q7" s="16">
        <f>((1+(F7-G7)/G7)*(1+(G7-H7)/H7)*(1+(H7-I7)/I7)*(1+(I7-J7)/J7))^(1/(5-1))</f>
        <v>1.0630980483572572</v>
      </c>
    </row>
    <row r="8" spans="1:17" s="26" customFormat="1" ht="29.25" customHeight="1" x14ac:dyDescent="0.25">
      <c r="A8" s="25">
        <v>7</v>
      </c>
      <c r="B8" s="25" t="s">
        <v>39</v>
      </c>
      <c r="C8" s="25"/>
      <c r="D8" s="25" t="e">
        <f>D7*100/D3</f>
        <v>#DIV/0!</v>
      </c>
      <c r="E8" s="25" t="e">
        <f>E7*100/E3</f>
        <v>#DIV/0!</v>
      </c>
      <c r="F8" s="25">
        <v>8.6754966887417222</v>
      </c>
      <c r="G8" s="25">
        <v>8.4071005917159773</v>
      </c>
      <c r="H8" s="25">
        <v>7.9817073170731696</v>
      </c>
      <c r="I8" s="25">
        <v>7.3819209039548017</v>
      </c>
      <c r="J8" s="25">
        <v>7.8892307692307693</v>
      </c>
      <c r="K8" s="25" t="e">
        <f>K7*100/K3</f>
        <v>#DIV/0!</v>
      </c>
      <c r="L8" s="25" t="e">
        <f>L7*100/L3</f>
        <v>#DIV/0!</v>
      </c>
      <c r="M8" s="25" t="e">
        <f>M7*100/M3</f>
        <v>#DIV/0!</v>
      </c>
      <c r="N8" s="25" t="e">
        <f>N7*100/N3</f>
        <v>#DIV/0!</v>
      </c>
      <c r="P8" s="26" t="s">
        <v>12</v>
      </c>
      <c r="Q8" s="16">
        <f>((1+(F8-G8)/G8)*(1+(G8-H8)/H8)*(1+(H8-I8)/I8)*(1+(I8-J8)/J8))^(1/(5-1))</f>
        <v>1.0240352869312255</v>
      </c>
    </row>
    <row r="9" spans="1:17" s="1" customFormat="1" x14ac:dyDescent="0.25">
      <c r="A9" s="17" t="s">
        <v>45</v>
      </c>
      <c r="B9" s="12"/>
      <c r="C9" s="12"/>
      <c r="D9" s="12"/>
      <c r="F9" s="1">
        <v>1231092.058</v>
      </c>
      <c r="G9" s="1">
        <v>1222205</v>
      </c>
      <c r="H9" s="1">
        <v>1200661</v>
      </c>
      <c r="I9" s="1">
        <v>1196494.243</v>
      </c>
      <c r="J9" s="1">
        <v>1180280</v>
      </c>
    </row>
    <row r="11" spans="1:17" s="11" customFormat="1" x14ac:dyDescent="0.25">
      <c r="A11" s="8" t="s">
        <v>44</v>
      </c>
      <c r="B11" s="9"/>
      <c r="C11" s="9"/>
      <c r="D11" s="9"/>
    </row>
    <row r="12" spans="1:17" s="11" customFormat="1" x14ac:dyDescent="0.25">
      <c r="A12" s="18" t="s">
        <v>20</v>
      </c>
      <c r="B12" s="9"/>
      <c r="C12" s="9"/>
      <c r="D12" s="14">
        <v>45627</v>
      </c>
      <c r="E12" s="10">
        <v>45261</v>
      </c>
      <c r="F12" s="10">
        <v>44896</v>
      </c>
      <c r="G12" s="10">
        <v>44531</v>
      </c>
      <c r="H12" s="10">
        <v>44166</v>
      </c>
      <c r="I12" s="10">
        <v>43800</v>
      </c>
      <c r="J12" s="10">
        <v>43435</v>
      </c>
      <c r="K12" s="10">
        <v>43070</v>
      </c>
      <c r="L12" s="10">
        <v>42705</v>
      </c>
      <c r="M12" s="10">
        <v>42339</v>
      </c>
      <c r="N12" s="10">
        <v>41974</v>
      </c>
      <c r="O12" s="10"/>
    </row>
    <row r="13" spans="1:17" s="1" customFormat="1" ht="30" x14ac:dyDescent="0.25">
      <c r="A13" s="12" t="s">
        <v>55</v>
      </c>
      <c r="B13" s="12"/>
      <c r="C13" s="12"/>
      <c r="D13" s="12"/>
      <c r="F13" s="1">
        <f>594.7*1000</f>
        <v>594700</v>
      </c>
      <c r="G13" s="1">
        <f>611.9*1000</f>
        <v>611900</v>
      </c>
      <c r="H13" s="1">
        <f>579.8*1000</f>
        <v>579800</v>
      </c>
      <c r="I13" s="1">
        <f>617.6*1000</f>
        <v>617600</v>
      </c>
      <c r="J13" s="1">
        <f>444.7*1000</f>
        <v>444700</v>
      </c>
      <c r="K13" s="11"/>
      <c r="P13" s="16" t="s">
        <v>12</v>
      </c>
      <c r="Q13" s="16">
        <f>((1+(F13-G13)/G13)*(1+(G13-H13)/H13)*(1+(H13-I13)/I13)*(1+(I13-J13)/J13))^(1/(5-1))</f>
        <v>1.0753694691881068</v>
      </c>
    </row>
    <row r="14" spans="1:17" s="1" customFormat="1" x14ac:dyDescent="0.25">
      <c r="A14" s="12" t="s">
        <v>23</v>
      </c>
      <c r="B14" s="12"/>
      <c r="C14" s="12"/>
      <c r="D14" s="12"/>
      <c r="K14" s="11"/>
      <c r="P14" s="16"/>
      <c r="Q14" s="16"/>
    </row>
    <row r="15" spans="1:17" s="16" customFormat="1" ht="30" x14ac:dyDescent="0.25">
      <c r="A15" s="15" t="s">
        <v>31</v>
      </c>
      <c r="B15" s="15"/>
      <c r="C15" s="15"/>
      <c r="D15" s="15">
        <f t="shared" ref="D15:E15" si="1">(D13-D14)</f>
        <v>0</v>
      </c>
      <c r="E15" s="15">
        <f t="shared" si="1"/>
        <v>0</v>
      </c>
      <c r="F15" s="15">
        <f>(F13-F14)</f>
        <v>594700</v>
      </c>
      <c r="G15" s="15">
        <f t="shared" ref="G15:N15" si="2">(G13-G14)</f>
        <v>611900</v>
      </c>
      <c r="H15" s="15">
        <f t="shared" si="2"/>
        <v>579800</v>
      </c>
      <c r="I15" s="15">
        <f t="shared" si="2"/>
        <v>617600</v>
      </c>
      <c r="J15" s="15">
        <f t="shared" si="2"/>
        <v>444700</v>
      </c>
      <c r="K15" s="15">
        <f t="shared" si="2"/>
        <v>0</v>
      </c>
      <c r="L15" s="15">
        <f t="shared" si="2"/>
        <v>0</v>
      </c>
      <c r="M15" s="15">
        <f t="shared" si="2"/>
        <v>0</v>
      </c>
      <c r="N15" s="15">
        <f t="shared" si="2"/>
        <v>0</v>
      </c>
      <c r="P15" s="16" t="s">
        <v>12</v>
      </c>
      <c r="Q15" s="16">
        <f>((1+(F15-G15)/G15)*(1+(G15-H15)/H15)*(1+(H15-I15)/I15)*(1+(I15-J15)/J15))^(1/(5-1))</f>
        <v>1.0753694691881068</v>
      </c>
    </row>
    <row r="16" spans="1:17" s="1" customFormat="1" ht="30" x14ac:dyDescent="0.25">
      <c r="A16" s="12" t="s">
        <v>24</v>
      </c>
      <c r="B16" s="12"/>
      <c r="C16" s="12"/>
      <c r="D16" s="12"/>
      <c r="F16" s="28"/>
      <c r="G16" s="28"/>
      <c r="H16" s="28"/>
      <c r="I16" s="28"/>
      <c r="J16" s="28"/>
      <c r="K16" s="11"/>
      <c r="P16" s="16" t="s">
        <v>12</v>
      </c>
      <c r="Q16" s="16" t="e">
        <f>((1+(E16-F16)/F16)*(1+(F16-G16)/G16)*(1+(G16-H16)/H16)*(1+(H16-I16)/I16)*(1+(I16-J16)/J16)*(1+(J16-K16)/K16)*(1+(K16-L16)/L16)*(1+(L16-M16)/M16)*(1+(M16-N16)/N16))^(1/(10-1))</f>
        <v>#DIV/0!</v>
      </c>
    </row>
    <row r="17" spans="1:17" s="1" customFormat="1" x14ac:dyDescent="0.25">
      <c r="A17" s="12" t="s">
        <v>25</v>
      </c>
      <c r="B17" s="12"/>
      <c r="C17" s="12"/>
      <c r="D17" s="12"/>
      <c r="K17" s="11"/>
      <c r="P17" s="16"/>
      <c r="Q17" s="16"/>
    </row>
    <row r="18" spans="1:17" s="16" customFormat="1" ht="30" x14ac:dyDescent="0.25">
      <c r="A18" s="15" t="s">
        <v>30</v>
      </c>
      <c r="B18" s="15"/>
      <c r="C18" s="15"/>
      <c r="D18" s="15">
        <f>(D16-D17)</f>
        <v>0</v>
      </c>
      <c r="E18" s="15">
        <f t="shared" ref="E18:N18" si="3">(E16-E17)</f>
        <v>0</v>
      </c>
      <c r="F18" s="15">
        <f>(F16-F17)</f>
        <v>0</v>
      </c>
      <c r="G18" s="15">
        <f t="shared" si="3"/>
        <v>0</v>
      </c>
      <c r="H18" s="15">
        <f t="shared" si="3"/>
        <v>0</v>
      </c>
      <c r="I18" s="15">
        <f t="shared" si="3"/>
        <v>0</v>
      </c>
      <c r="J18" s="15">
        <f t="shared" si="3"/>
        <v>0</v>
      </c>
      <c r="K18" s="15">
        <f t="shared" si="3"/>
        <v>0</v>
      </c>
      <c r="L18" s="15">
        <f t="shared" si="3"/>
        <v>0</v>
      </c>
      <c r="M18" s="15">
        <f t="shared" si="3"/>
        <v>0</v>
      </c>
      <c r="N18" s="15">
        <f t="shared" si="3"/>
        <v>0</v>
      </c>
      <c r="P18" s="16" t="s">
        <v>12</v>
      </c>
      <c r="Q18" s="16" t="e">
        <f>((1+(E18-F18)/F18)*(1+(F18-G18)/G18)*(1+(G18-H18)/H18)*(1+(H18-I18)/I18)*(1+(I18-J18)/J18)*(1+(J18-K18)/K18)*(1+(K18-L18)/L18)*(1+(L18-M18)/M18)*(1+(M18-N18)/N18))^(1/(10-1))</f>
        <v>#DIV/0!</v>
      </c>
    </row>
    <row r="19" spans="1:17" s="1" customFormat="1" x14ac:dyDescent="0.25">
      <c r="A19" s="12" t="s">
        <v>52</v>
      </c>
      <c r="B19" s="12"/>
      <c r="C19" s="12"/>
      <c r="D19" s="12"/>
      <c r="E19" s="12"/>
      <c r="F19" s="12">
        <f>89515-26280</f>
        <v>63235</v>
      </c>
      <c r="G19" s="32">
        <f>101800+24109</f>
        <v>125909</v>
      </c>
      <c r="H19" s="12">
        <f>89527+28476</f>
        <v>118003</v>
      </c>
      <c r="I19" s="12">
        <f>80315+27981</f>
        <v>108296</v>
      </c>
      <c r="J19" s="12">
        <f>67549+31155</f>
        <v>98704</v>
      </c>
      <c r="K19" s="9"/>
      <c r="L19" s="12"/>
      <c r="M19" s="12"/>
      <c r="N19" s="12"/>
      <c r="P19" s="16"/>
      <c r="Q19" s="16"/>
    </row>
    <row r="20" spans="1:17" s="1" customFormat="1" ht="15.75" customHeight="1" x14ac:dyDescent="0.25">
      <c r="A20" s="12" t="s">
        <v>26</v>
      </c>
      <c r="B20" s="12"/>
      <c r="C20" s="12"/>
      <c r="D20" s="12"/>
      <c r="F20" s="31">
        <v>-9328</v>
      </c>
      <c r="G20" s="31">
        <v>62355</v>
      </c>
      <c r="H20" s="31">
        <v>-25288</v>
      </c>
      <c r="I20" s="31">
        <v>95080</v>
      </c>
      <c r="J20" s="31">
        <v>170375</v>
      </c>
      <c r="K20" s="11"/>
      <c r="P20" s="16"/>
      <c r="Q20" s="16"/>
    </row>
    <row r="21" spans="1:17" s="1" customFormat="1" ht="15.75" customHeight="1" x14ac:dyDescent="0.25">
      <c r="A21" s="12" t="s">
        <v>27</v>
      </c>
      <c r="B21" s="12"/>
      <c r="C21" s="12"/>
      <c r="D21" s="12"/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1"/>
      <c r="P21" s="16"/>
      <c r="Q21" s="16"/>
    </row>
    <row r="22" spans="1:17" s="16" customFormat="1" ht="30" x14ac:dyDescent="0.25">
      <c r="A22" s="15" t="s">
        <v>32</v>
      </c>
      <c r="B22" s="15"/>
      <c r="C22" s="15"/>
      <c r="D22" s="15">
        <f t="shared" ref="D22:E22" si="4">(D16+D20-D21)</f>
        <v>0</v>
      </c>
      <c r="E22" s="15">
        <f t="shared" si="4"/>
        <v>0</v>
      </c>
      <c r="F22" s="15">
        <f>(F16+F20-F21)</f>
        <v>-9328</v>
      </c>
      <c r="G22" s="15">
        <f t="shared" ref="G22:N22" si="5">(G16+G20-G21)</f>
        <v>62355</v>
      </c>
      <c r="H22" s="15">
        <f t="shared" si="5"/>
        <v>-25288</v>
      </c>
      <c r="I22" s="15">
        <f t="shared" si="5"/>
        <v>95080</v>
      </c>
      <c r="J22" s="15">
        <f t="shared" si="5"/>
        <v>170375</v>
      </c>
      <c r="K22" s="15">
        <f t="shared" si="5"/>
        <v>0</v>
      </c>
      <c r="L22" s="15">
        <f t="shared" si="5"/>
        <v>0</v>
      </c>
      <c r="M22" s="15">
        <f t="shared" si="5"/>
        <v>0</v>
      </c>
      <c r="N22" s="15">
        <f t="shared" si="5"/>
        <v>0</v>
      </c>
      <c r="P22" s="16" t="s">
        <v>12</v>
      </c>
      <c r="Q22" s="16" t="e">
        <f>((1+(F22-G22)/G22)*(1+(G22-H22)/H22)*(1+(H22-I22)/I22)*(1+(I22-J22)/J22))^(1/(5-1))</f>
        <v>#NUM!</v>
      </c>
    </row>
    <row r="23" spans="1:17" s="1" customFormat="1" x14ac:dyDescent="0.25">
      <c r="A23" s="12" t="s">
        <v>28</v>
      </c>
      <c r="B23" s="12"/>
      <c r="C23" s="12"/>
      <c r="D23" s="12"/>
      <c r="F23" s="31">
        <v>-3770</v>
      </c>
      <c r="G23" s="31">
        <v>-5821</v>
      </c>
      <c r="H23" s="31">
        <v>-4691</v>
      </c>
      <c r="I23" s="1">
        <f>(-20058)+(-2261)</f>
        <v>-22319</v>
      </c>
      <c r="J23" s="1">
        <f>58015+(-7565)</f>
        <v>50450</v>
      </c>
      <c r="K23" s="11"/>
      <c r="L23" s="28"/>
      <c r="M23" s="28"/>
      <c r="N23" s="28"/>
      <c r="P23" s="16"/>
      <c r="Q23" s="16"/>
    </row>
    <row r="24" spans="1:17" s="1" customFormat="1" x14ac:dyDescent="0.25">
      <c r="A24" s="12" t="s">
        <v>48</v>
      </c>
      <c r="B24" s="12"/>
      <c r="C24" s="12"/>
      <c r="D24" s="12"/>
      <c r="F24" s="28"/>
      <c r="G24" s="28"/>
      <c r="H24" s="28"/>
      <c r="I24" s="28"/>
      <c r="J24" s="28"/>
      <c r="K24" s="11"/>
      <c r="P24" s="16"/>
      <c r="Q24" s="16"/>
    </row>
    <row r="25" spans="1:17" s="1" customFormat="1" x14ac:dyDescent="0.25">
      <c r="A25" s="12" t="s">
        <v>49</v>
      </c>
      <c r="B25" s="12"/>
      <c r="C25" s="12"/>
      <c r="D25" s="12"/>
      <c r="F25" s="28"/>
      <c r="G25" s="28"/>
      <c r="H25" s="28"/>
      <c r="I25" s="28"/>
      <c r="J25" s="28"/>
      <c r="K25" s="11"/>
      <c r="P25" s="16"/>
      <c r="Q25" s="16"/>
    </row>
    <row r="26" spans="1:17" s="16" customFormat="1" ht="30" x14ac:dyDescent="0.25">
      <c r="A26" s="15" t="s">
        <v>33</v>
      </c>
      <c r="B26" s="15"/>
      <c r="C26" s="15"/>
      <c r="D26" s="15">
        <f t="shared" ref="D26:E26" si="6">(D22-D23-D24)</f>
        <v>0</v>
      </c>
      <c r="E26" s="15">
        <f t="shared" si="6"/>
        <v>0</v>
      </c>
      <c r="F26" s="15">
        <f>(F22-F23-F24)</f>
        <v>-5558</v>
      </c>
      <c r="G26" s="15">
        <f t="shared" ref="G26:N26" si="7">(G22-G23-G24)</f>
        <v>68176</v>
      </c>
      <c r="H26" s="15">
        <f t="shared" si="7"/>
        <v>-20597</v>
      </c>
      <c r="I26" s="15">
        <f t="shared" si="7"/>
        <v>117399</v>
      </c>
      <c r="J26" s="15">
        <f>(J22-J23-J24)</f>
        <v>119925</v>
      </c>
      <c r="K26" s="15">
        <f>(K22-K23-K24)</f>
        <v>0</v>
      </c>
      <c r="L26" s="15">
        <f t="shared" si="7"/>
        <v>0</v>
      </c>
      <c r="M26" s="15">
        <f t="shared" si="7"/>
        <v>0</v>
      </c>
      <c r="N26" s="15">
        <f t="shared" si="7"/>
        <v>0</v>
      </c>
      <c r="P26" s="16" t="s">
        <v>12</v>
      </c>
      <c r="Q26" s="16" t="e">
        <f>((1+(F26-G26)/G26)*(1+(G26-H26)/H26)*(1+(H26-I26)/I26)*(1+(I26-J26)/J26))^(1/(5-1))</f>
        <v>#NUM!</v>
      </c>
    </row>
    <row r="27" spans="1:17" s="1" customFormat="1" x14ac:dyDescent="0.25">
      <c r="A27" s="12" t="s">
        <v>46</v>
      </c>
      <c r="B27" s="12"/>
      <c r="C27" s="12"/>
      <c r="D27" s="12"/>
      <c r="F27" s="29">
        <v>-18089</v>
      </c>
      <c r="G27" s="31">
        <v>-41298</v>
      </c>
      <c r="H27" s="29">
        <v>-17216</v>
      </c>
      <c r="I27" s="31">
        <v>-49250</v>
      </c>
      <c r="J27" s="31">
        <v>-68699</v>
      </c>
      <c r="K27" s="11"/>
      <c r="P27" s="16"/>
      <c r="Q27" s="16"/>
    </row>
    <row r="28" spans="1:17" s="16" customFormat="1" ht="30" x14ac:dyDescent="0.25">
      <c r="A28" s="15" t="s">
        <v>53</v>
      </c>
      <c r="B28" s="15"/>
      <c r="C28" s="15"/>
      <c r="D28" s="15"/>
      <c r="F28" s="16">
        <v>88503</v>
      </c>
      <c r="G28" s="16">
        <v>86199</v>
      </c>
      <c r="H28" s="16">
        <v>78735</v>
      </c>
      <c r="I28" s="16">
        <v>77927</v>
      </c>
      <c r="J28" s="16">
        <v>71958</v>
      </c>
      <c r="P28" s="16" t="s">
        <v>12</v>
      </c>
      <c r="Q28" s="16">
        <f>((1+(F28-G28)/G28)*(1+(G28-H28)/H28)*(1+(H28-I28)/I28)*(1+(I28-J28)/J28))^(1/(5-1))</f>
        <v>1.0531002771362381</v>
      </c>
    </row>
    <row r="29" spans="1:17" s="1" customFormat="1" x14ac:dyDescent="0.25">
      <c r="A29" s="12" t="s">
        <v>29</v>
      </c>
      <c r="B29" s="12"/>
      <c r="C29" s="12"/>
      <c r="D29" s="12" t="e">
        <f t="shared" ref="D29:E29" si="8">D28*100/D16</f>
        <v>#DIV/0!</v>
      </c>
      <c r="E29" s="12" t="e">
        <f t="shared" si="8"/>
        <v>#DIV/0!</v>
      </c>
      <c r="F29" s="12" t="e">
        <f>F28*100/F16</f>
        <v>#DIV/0!</v>
      </c>
      <c r="G29" s="12" t="e">
        <f t="shared" ref="G29:N29" si="9">G28*100/G16</f>
        <v>#DIV/0!</v>
      </c>
      <c r="H29" s="12" t="e">
        <f t="shared" si="9"/>
        <v>#DIV/0!</v>
      </c>
      <c r="I29" s="12" t="e">
        <f t="shared" si="9"/>
        <v>#DIV/0!</v>
      </c>
      <c r="J29" s="12" t="e">
        <f>J28*100/J16</f>
        <v>#DIV/0!</v>
      </c>
      <c r="K29" s="12" t="e">
        <f t="shared" si="9"/>
        <v>#DIV/0!</v>
      </c>
      <c r="L29" s="12" t="e">
        <f t="shared" si="9"/>
        <v>#DIV/0!</v>
      </c>
      <c r="M29" s="12" t="e">
        <f t="shared" si="9"/>
        <v>#DIV/0!</v>
      </c>
      <c r="N29" s="12" t="e">
        <f t="shared" si="9"/>
        <v>#DIV/0!</v>
      </c>
      <c r="P29" s="16"/>
      <c r="Q29" s="16"/>
    </row>
    <row r="30" spans="1:17" s="1" customFormat="1" x14ac:dyDescent="0.25">
      <c r="A30" s="12" t="s">
        <v>21</v>
      </c>
      <c r="B30" s="12"/>
      <c r="C30" s="12"/>
      <c r="D30" s="12" t="e">
        <f>D7/#REF!</f>
        <v>#REF!</v>
      </c>
      <c r="E30" s="12" t="e">
        <f>E7/#REF!</f>
        <v>#REF!</v>
      </c>
      <c r="F30" s="12" t="e">
        <f>F7/#REF!</f>
        <v>#REF!</v>
      </c>
      <c r="G30" s="12" t="e">
        <f>G7/#REF!</f>
        <v>#REF!</v>
      </c>
      <c r="H30" s="12" t="e">
        <f>H7/#REF!</f>
        <v>#REF!</v>
      </c>
      <c r="I30" s="12" t="e">
        <f>I7/#REF!</f>
        <v>#REF!</v>
      </c>
      <c r="J30" s="12" t="e">
        <f>J7/#REF!</f>
        <v>#REF!</v>
      </c>
      <c r="K30" s="12" t="e">
        <f>K7/#REF!</f>
        <v>#REF!</v>
      </c>
      <c r="L30" s="12" t="e">
        <f>L7/#REF!</f>
        <v>#REF!</v>
      </c>
      <c r="M30" s="12" t="e">
        <f>M7/#REF!</f>
        <v>#REF!</v>
      </c>
      <c r="N30" s="12" t="e">
        <f>N7/#REF!</f>
        <v>#REF!</v>
      </c>
      <c r="P30" s="16"/>
      <c r="Q30" s="16"/>
    </row>
    <row r="31" spans="1:17" s="1" customFormat="1" x14ac:dyDescent="0.25">
      <c r="A31" s="12" t="s">
        <v>22</v>
      </c>
      <c r="B31" s="12"/>
      <c r="C31" s="12"/>
      <c r="D31" s="12" t="e">
        <f>100/D30</f>
        <v>#REF!</v>
      </c>
      <c r="E31" s="12" t="e">
        <f t="shared" ref="E31:N31" si="10">100/E30</f>
        <v>#REF!</v>
      </c>
      <c r="F31" s="12" t="e">
        <f t="shared" si="10"/>
        <v>#REF!</v>
      </c>
      <c r="G31" s="12" t="e">
        <f t="shared" si="10"/>
        <v>#REF!</v>
      </c>
      <c r="H31" s="12" t="e">
        <f t="shared" si="10"/>
        <v>#REF!</v>
      </c>
      <c r="I31" s="12" t="e">
        <f t="shared" si="10"/>
        <v>#REF!</v>
      </c>
      <c r="J31" s="12" t="e">
        <f t="shared" si="10"/>
        <v>#REF!</v>
      </c>
      <c r="K31" s="12" t="e">
        <f t="shared" si="10"/>
        <v>#REF!</v>
      </c>
      <c r="L31" s="12" t="e">
        <f t="shared" si="10"/>
        <v>#REF!</v>
      </c>
      <c r="M31" s="12" t="e">
        <f t="shared" si="10"/>
        <v>#REF!</v>
      </c>
      <c r="N31" s="12" t="e">
        <f t="shared" si="10"/>
        <v>#REF!</v>
      </c>
      <c r="P31" s="16"/>
      <c r="Q31" s="16"/>
    </row>
    <row r="32" spans="1:17" s="16" customFormat="1" ht="30" x14ac:dyDescent="0.25">
      <c r="A32" s="15" t="s">
        <v>51</v>
      </c>
      <c r="B32" s="15"/>
      <c r="C32" s="15"/>
      <c r="D32" s="33" t="e">
        <f t="shared" ref="D32:N32" si="11">D26+D$27-D$43</f>
        <v>#DIV/0!</v>
      </c>
      <c r="E32" s="33" t="e">
        <f t="shared" si="11"/>
        <v>#DIV/0!</v>
      </c>
      <c r="F32" s="33">
        <f t="shared" si="11"/>
        <v>-129104.81784099826</v>
      </c>
      <c r="G32" s="33">
        <f t="shared" si="11"/>
        <v>-83744.723117907197</v>
      </c>
      <c r="H32" s="15">
        <f t="shared" si="11"/>
        <v>-137566.15263060946</v>
      </c>
      <c r="I32" s="15">
        <f t="shared" si="11"/>
        <v>-32046.499751323165</v>
      </c>
      <c r="J32" s="33">
        <f t="shared" si="11"/>
        <v>-9810.839109944056</v>
      </c>
      <c r="K32" s="33" t="e">
        <f t="shared" si="11"/>
        <v>#DIV/0!</v>
      </c>
      <c r="L32" s="33" t="e">
        <f t="shared" si="11"/>
        <v>#DIV/0!</v>
      </c>
      <c r="M32" s="33" t="e">
        <f t="shared" si="11"/>
        <v>#DIV/0!</v>
      </c>
      <c r="N32" s="33" t="e">
        <f t="shared" si="11"/>
        <v>#DIV/0!</v>
      </c>
      <c r="P32" s="16" t="s">
        <v>12</v>
      </c>
      <c r="Q32" s="16">
        <f>((1+(F32-G32)/G32)*(1+(G32-H32)/H32)*(1+(H32-I32)/I32)*(1+(I32-J32)/J32))^(1/(5-1))</f>
        <v>1.904623216558103</v>
      </c>
    </row>
    <row r="33" spans="1:17" s="26" customFormat="1" x14ac:dyDescent="0.25">
      <c r="A33" s="34" t="s">
        <v>45</v>
      </c>
      <c r="B33" s="25"/>
      <c r="C33" s="25"/>
      <c r="D33" s="25"/>
      <c r="F33" s="26">
        <f>1231092058/1000</f>
        <v>1231092.058</v>
      </c>
      <c r="G33" s="26">
        <f>1222205000/1000</f>
        <v>1222205</v>
      </c>
      <c r="H33" s="26">
        <f>1200661000/1000</f>
        <v>1200661</v>
      </c>
      <c r="I33" s="26">
        <f>1196494243/1000</f>
        <v>1196494.243</v>
      </c>
      <c r="J33" s="26">
        <f>1180280000/1000</f>
        <v>1180280</v>
      </c>
    </row>
    <row r="34" spans="1:17" s="1" customFormat="1" x14ac:dyDescent="0.25">
      <c r="A34" s="12"/>
      <c r="B34" s="12"/>
      <c r="C34" s="12"/>
      <c r="D34" s="12"/>
      <c r="P34" s="16"/>
      <c r="Q34" s="16"/>
    </row>
    <row r="35" spans="1:17" s="11" customFormat="1" x14ac:dyDescent="0.25">
      <c r="A35" s="8" t="s">
        <v>57</v>
      </c>
      <c r="B35" s="9"/>
      <c r="C35" s="9"/>
      <c r="D35" s="9"/>
    </row>
    <row r="36" spans="1:17" s="11" customFormat="1" x14ac:dyDescent="0.25">
      <c r="A36" s="18" t="s">
        <v>20</v>
      </c>
      <c r="B36" s="9"/>
      <c r="C36" s="9"/>
      <c r="D36" s="14">
        <v>45627</v>
      </c>
      <c r="E36" s="10">
        <v>45261</v>
      </c>
      <c r="F36" s="10">
        <v>44896</v>
      </c>
      <c r="G36" s="10">
        <v>44531</v>
      </c>
      <c r="H36" s="10">
        <v>44166</v>
      </c>
      <c r="I36" s="10">
        <v>43800</v>
      </c>
      <c r="J36" s="10">
        <v>43435</v>
      </c>
      <c r="K36" s="10">
        <v>43070</v>
      </c>
      <c r="L36" s="10">
        <v>42705</v>
      </c>
      <c r="M36" s="10">
        <v>42339</v>
      </c>
      <c r="N36" s="10">
        <v>41974</v>
      </c>
      <c r="O36" s="10"/>
    </row>
    <row r="37" spans="1:17" s="1" customFormat="1" x14ac:dyDescent="0.25">
      <c r="A37" s="12" t="s">
        <v>50</v>
      </c>
      <c r="B37" s="12"/>
      <c r="C37" s="12"/>
      <c r="D37" s="27">
        <f t="shared" ref="D37:N37" si="12">D3*D9</f>
        <v>0</v>
      </c>
      <c r="E37" s="27">
        <f t="shared" si="12"/>
        <v>0</v>
      </c>
      <c r="F37" s="27">
        <f t="shared" si="12"/>
        <v>929474.50378999999</v>
      </c>
      <c r="G37" s="27">
        <f t="shared" si="12"/>
        <v>1032763.225</v>
      </c>
      <c r="H37" s="27">
        <f t="shared" si="12"/>
        <v>984542.0199999999</v>
      </c>
      <c r="I37" s="27">
        <f t="shared" si="12"/>
        <v>1058897.405055</v>
      </c>
      <c r="J37" s="27">
        <f t="shared" si="12"/>
        <v>767182</v>
      </c>
      <c r="K37" s="27">
        <f t="shared" si="12"/>
        <v>0</v>
      </c>
      <c r="L37" s="27">
        <f t="shared" si="12"/>
        <v>0</v>
      </c>
      <c r="M37" s="27">
        <f t="shared" si="12"/>
        <v>0</v>
      </c>
      <c r="N37" s="27">
        <f t="shared" si="12"/>
        <v>0</v>
      </c>
      <c r="O37" s="22"/>
      <c r="P37" s="16"/>
      <c r="Q37" s="16"/>
    </row>
    <row r="38" spans="1:17" s="1" customFormat="1" x14ac:dyDescent="0.25">
      <c r="A38" s="12" t="s">
        <v>36</v>
      </c>
      <c r="B38" s="12"/>
      <c r="C38" s="12"/>
      <c r="D38" s="27">
        <f>Business!E7</f>
        <v>0</v>
      </c>
      <c r="E38" s="27">
        <f>Business!F7</f>
        <v>0</v>
      </c>
      <c r="F38" s="27">
        <f>Business!G7</f>
        <v>488300</v>
      </c>
      <c r="G38" s="27">
        <f>Business!H7</f>
        <v>518600</v>
      </c>
      <c r="H38" s="27">
        <f>Business!I7</f>
        <v>518500</v>
      </c>
      <c r="I38" s="27">
        <f>Business!J7</f>
        <v>478600</v>
      </c>
      <c r="J38" s="27">
        <f>Business!K7</f>
        <v>512.6</v>
      </c>
      <c r="K38" s="27">
        <f>Business!L7</f>
        <v>0</v>
      </c>
      <c r="L38" s="27">
        <f>Business!M7</f>
        <v>0</v>
      </c>
      <c r="M38" s="27">
        <f>Business!N7</f>
        <v>0</v>
      </c>
      <c r="N38" s="27">
        <f>Business!O7</f>
        <v>0</v>
      </c>
      <c r="O38" s="22"/>
      <c r="P38" s="16"/>
      <c r="Q38" s="16"/>
    </row>
    <row r="39" spans="1:17" ht="16.5" customHeight="1" x14ac:dyDescent="0.25">
      <c r="A39" t="s">
        <v>37</v>
      </c>
      <c r="D39" s="12">
        <f>D37+D38</f>
        <v>0</v>
      </c>
      <c r="E39" s="12">
        <f t="shared" ref="E39:N39" si="13">E37+E38</f>
        <v>0</v>
      </c>
      <c r="F39" s="12">
        <f t="shared" si="13"/>
        <v>1417774.50379</v>
      </c>
      <c r="G39" s="12">
        <f t="shared" si="13"/>
        <v>1551363.2250000001</v>
      </c>
      <c r="H39" s="12">
        <f t="shared" si="13"/>
        <v>1503042.02</v>
      </c>
      <c r="I39" s="12">
        <f t="shared" si="13"/>
        <v>1537497.405055</v>
      </c>
      <c r="J39" s="12">
        <f t="shared" si="13"/>
        <v>767694.6</v>
      </c>
      <c r="K39" s="12">
        <f t="shared" si="13"/>
        <v>0</v>
      </c>
      <c r="L39" s="12">
        <f t="shared" si="13"/>
        <v>0</v>
      </c>
      <c r="M39" s="12">
        <f t="shared" si="13"/>
        <v>0</v>
      </c>
      <c r="N39" s="12">
        <f t="shared" si="13"/>
        <v>0</v>
      </c>
      <c r="O39" s="19"/>
      <c r="P39" s="20"/>
      <c r="Q39" s="20"/>
    </row>
    <row r="40" spans="1:17" ht="16.5" customHeight="1" x14ac:dyDescent="0.25">
      <c r="A40" t="s">
        <v>38</v>
      </c>
      <c r="D40" t="e">
        <v>#DIV/0!</v>
      </c>
      <c r="E40" t="e">
        <v>#DIV/0!</v>
      </c>
      <c r="F40">
        <v>5.7506407135301831</v>
      </c>
      <c r="G40">
        <v>5.6598172306106589</v>
      </c>
      <c r="H40">
        <v>5.2913791878293246</v>
      </c>
      <c r="I40">
        <v>5.1471371262894747</v>
      </c>
      <c r="J40">
        <v>7.9470610721951225</v>
      </c>
      <c r="K40" t="e">
        <v>#DIV/0!</v>
      </c>
      <c r="L40" t="e">
        <v>#DIV/0!</v>
      </c>
      <c r="M40" t="e">
        <v>#DIV/0!</v>
      </c>
      <c r="N40" t="e">
        <v>#DIV/0!</v>
      </c>
      <c r="O40" s="19"/>
      <c r="P40" s="20"/>
      <c r="Q40" s="20"/>
    </row>
    <row r="41" spans="1:17" ht="16.5" customHeight="1" x14ac:dyDescent="0.25">
      <c r="A41" t="s">
        <v>13</v>
      </c>
      <c r="D41" t="e">
        <v>#DIV/0!</v>
      </c>
      <c r="E41" t="e">
        <v>#DIV/0!</v>
      </c>
      <c r="F41">
        <v>1.6876238030828639</v>
      </c>
      <c r="G41">
        <v>1.4708612162699679</v>
      </c>
      <c r="H41">
        <v>1.3453715685207521</v>
      </c>
      <c r="I41">
        <v>1.3696543441806128</v>
      </c>
      <c r="J41">
        <v>3.6056525602759229E-3</v>
      </c>
      <c r="K41" t="e">
        <v>#DIV/0!</v>
      </c>
      <c r="L41" t="e">
        <v>#DIV/0!</v>
      </c>
      <c r="M41" t="e">
        <v>#DIV/0!</v>
      </c>
      <c r="N41" t="e">
        <v>#DIV/0!</v>
      </c>
      <c r="O41" s="19"/>
      <c r="P41" s="20"/>
      <c r="Q41" s="20"/>
    </row>
    <row r="42" spans="1:17" ht="16.5" customHeight="1" x14ac:dyDescent="0.25">
      <c r="A42" t="s">
        <v>56</v>
      </c>
      <c r="D42" t="e">
        <v>#DIV/0!</v>
      </c>
      <c r="E42" t="e">
        <v>#DIV/0!</v>
      </c>
      <c r="F42">
        <v>7.4382645166130468</v>
      </c>
      <c r="G42">
        <v>7.1306784468806264</v>
      </c>
      <c r="H42">
        <v>6.6367507563500769</v>
      </c>
      <c r="I42">
        <v>6.5167914704700873</v>
      </c>
      <c r="J42">
        <v>7.9506667247553988</v>
      </c>
      <c r="K42" t="e">
        <v>#DIV/0!</v>
      </c>
      <c r="L42" t="e">
        <v>#DIV/0!</v>
      </c>
      <c r="M42" t="e">
        <v>#DIV/0!</v>
      </c>
      <c r="N42" t="e">
        <v>#DIV/0!</v>
      </c>
      <c r="O42" s="19"/>
      <c r="P42" s="20"/>
      <c r="Q42" s="20"/>
    </row>
    <row r="43" spans="1:17" ht="16.5" customHeight="1" x14ac:dyDescent="0.25">
      <c r="A43" t="s">
        <v>47</v>
      </c>
      <c r="D43" t="e">
        <v>#DIV/0!</v>
      </c>
      <c r="E43" t="e">
        <v>#DIV/0!</v>
      </c>
      <c r="F43">
        <v>105457.81784099826</v>
      </c>
      <c r="G43">
        <v>110622.7231179072</v>
      </c>
      <c r="H43">
        <v>99753.152630609475</v>
      </c>
      <c r="I43">
        <v>100195.49975132316</v>
      </c>
      <c r="J43">
        <v>61036.839109944056</v>
      </c>
      <c r="K43" t="e">
        <v>#DIV/0!</v>
      </c>
      <c r="L43" t="e">
        <v>#DIV/0!</v>
      </c>
      <c r="M43" t="e">
        <v>#DIV/0!</v>
      </c>
      <c r="N43" t="e">
        <v>#DIV/0!</v>
      </c>
      <c r="O43" s="19"/>
      <c r="P43" s="20"/>
      <c r="Q43" s="20"/>
    </row>
    <row r="45" spans="1:17" s="1" customForma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P45" s="16"/>
      <c r="Q45" s="16"/>
    </row>
    <row r="46" spans="1:17" s="1" customFormat="1" x14ac:dyDescent="0.25">
      <c r="A46" s="12"/>
      <c r="B46" s="12"/>
      <c r="C46" s="12"/>
      <c r="D46" s="12"/>
    </row>
  </sheetData>
  <pageMargins left="0.7" right="0.7" top="0.75" bottom="0.75" header="0.3" footer="0.3"/>
  <pageSetup scale="72" fitToHeight="0" orientation="landscape" r:id="rId1"/>
  <headerFooter>
    <oddHeader xml:space="preserve">&amp;LALVIN FONG &amp;CREIT ECONOMICS AND MOS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80471-C9B7-48CE-AD91-393219A945FC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Business</vt:lpstr>
      <vt:lpstr>Valuation</vt:lpstr>
      <vt:lpstr>Valuation 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Fong</dc:creator>
  <cp:lastModifiedBy>Hans Vogelaar</cp:lastModifiedBy>
  <dcterms:created xsi:type="dcterms:W3CDTF">2022-11-28T08:13:30Z</dcterms:created>
  <dcterms:modified xsi:type="dcterms:W3CDTF">2023-05-20T13:04:18Z</dcterms:modified>
</cp:coreProperties>
</file>