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16"/>
  <workbookPr filterPrivacy="1"/>
  <xr:revisionPtr revIDLastSave="1037" documentId="8_{EBEAEDD6-DB56-4A87-8278-B11D3DC5A03A}" xr6:coauthVersionLast="47" xr6:coauthVersionMax="47" xr10:uidLastSave="{2A3F8E3E-828B-43C2-A609-AF6C71E733D1}"/>
  <bookViews>
    <workbookView xWindow="7995" yWindow="1275" windowWidth="21600" windowHeight="11295" xr2:uid="{00000000-000D-0000-FFFF-FFFF00000000}"/>
  </bookViews>
  <sheets>
    <sheet name="Read me" sheetId="4" r:id="rId1"/>
    <sheet name="Assumptions" sheetId="1" r:id="rId2"/>
    <sheet name="Model" sheetId="2" r:id="rId3"/>
    <sheet name="Q&amp;A" sheetId="3" r:id="rId4"/>
    <sheet name="e00eb4de3c8a421cba9b8f4cb8546ec" sheetId="5" state="veryHidden" r:id="rId5"/>
  </sheets>
  <externalReferences>
    <externalReference r:id="rId6"/>
    <externalReference r:id="rId7"/>
  </externalReferences>
  <definedNames>
    <definedName name="AccountsPayable">Model!$F$50</definedName>
    <definedName name="AccountsReceivable">Model!$F$42</definedName>
    <definedName name="Addλ" comment="Lambda form of simple vector addition">_xlfn.LAMBDA(_xlpm.x,_xlpm.y,_xlpm.x + _xlpm.y)</definedName>
    <definedName name="assets">Assumptions!$D$75:$D$77</definedName>
    <definedName name="baseIndirectCosts">Assumptions!$E$35</definedName>
    <definedName name="baseUnitsSold">Assumptions!$E$22</definedName>
    <definedName name="CAPEX">'Q&amp;A'!$B$11</definedName>
    <definedName name="CashFlowλ" comment="Assembles and sums direct cash flows">_xlfn.LAMBDA(_xlpm.modelDuration,_xlpm.openingAccReceivable,_xlpm.openingCashReceiptTiming,_xlpm.AccountsReceivable,_xlpm.openingAccountsPayable,_xlpm.openingCashPaymentTiming,_xlpm.AccountsPayable,_xlpm.interest,_xlpm.repayment,_xlpm.openingCash,_xlfn.LET(_xlpm.ReceiptsOnSales, TRANSPOSE(_xlfn.EXPAND(Convolveλ(_xlpm.openingCashReceiptTiming, _xlpm.openingAccReceivable), 12 * _xlpm.modelDuration, , 0)) - _xlfn.CHOOSEROWS(_xlpm.AccountsReceivable, 3), _xlpm.PaymentsOnCOGS, (-1) * TRANSPOSE(_xlfn.EXPAND(Convolveλ(_xlpm.openingCashPaymentTiming, _xlpm.openingAccountsPayable), 12 * _xlpm.modelDuration, , 0)) + _xlfn.CHOOSEROWS(_xlpm.AccountsPayable, 3), _xlpm.netCashFlow, _xlpm.ReceiptsOnSales + _xlpm.PaymentsOnCOGS - _xlpm.interest + _xlpm.repayment, _xlpm.closingCash, _xlfn.SCAN(_xlpm.openingCash, _xlpm.netCashFlow, Addλ), _xlpm.blankRows, _xlfn.EXPAND("", 1, 12 * _xlpm.modelDuration, ""), _xlfn.VSTACK(_xlpm.ReceiptsOnSales, _xlpm.blankRows, _xlpm.PaymentsOnCOGS, _xlpm.blankRows, -_xlpm.interest, _xlpm.repayment, _xlpm.blankRows, _xlpm.netCashFlow, _xlpm.blankRows, _xlpm.closingCash)))</definedName>
    <definedName name="cashPaymentTiming">Assumptions!$E$65:$H$65</definedName>
    <definedName name="cashReceiptTiming">Assumptions!$E$57:$H$57</definedName>
    <definedName name="contibutionMargin">Assumptions!$E$29</definedName>
    <definedName name="Convolveλ">_xlfn.LAMBDA(_xlpm.array1,_xlpm.array2,_xlop.n,_xlfn.LET(_xlpm.n₀, IF(_xlfn.ISOMITTED(_xlpm.n), SUM(COUNT(_xlpm.array1), COUNT(_xlpm.array2)), _xlpm.n), _xlpm.m₀, _xlfn.CEILING.MATH(LOG(_xlpm.n₀, 2)), _xlpm.n⁺, 2 ^ _xlpm.m₀, _xlpm.array1⁺, _xlfn.EXPAND(_xlfn.TOCOL(_xlpm.array1), _xlpm.n⁺, 2, 0), _xlpm.array2⁺, _xlfn.EXPAND(_xlfn.TOCOL(_xlpm.array2), _xlpm.n⁺, 2, 0), _xlpm.k, _xlfn.SEQUENCE(_xlpm.m₀), _xlpm.p, 2 ^ _xlpm.k, _xlpm.dft_array1, [0]!FFTλ(_xlpm.array1⁺, _xlpm.n⁺), _xlpm.dft_array2, [0]!FFTλ(_xlpm.array2⁺), _xlpm.dft_product, [0]!cProductλ(_xlpm.dft_array1, _xlpm.dft_array2), _xlpm.convolution, [0]!IFFTλ(_xlpm.dft_product), _xlfn.TAKE(ROUND(_xlpm.convolution, 2), , 1)))</definedName>
    <definedName name="costs" comment="Extracts costs from Income array and sums">_xlfn.BYCOL(_xlfn.CHOOSEROWS(_xlfn.ANCHORARRAY(incomeStatement), {2;4}), Sumλ)</definedName>
    <definedName name="cProductλ">_xlfn.LAMBDA(_xlpm.w,_xlpm.Z,_xlfn.LET(_xlpm.u, Rℓ(_xlpm.w), _xlpm.v, Im(_xlpm.w), _xlpm.X, Rℓ(_xlpm.Z), _xlpm.Y, Im(_xlpm.Z), _xlfn.HSTACK(_xlpm.u * _xlpm.X - _xlpm.v * _xlpm.Y, _xlpm.u * _xlpm.Y + _xlpm.v * _xlpm.X)))</definedName>
    <definedName name="debtAmortisationAmount">Assumptions!$F$41:$F$52</definedName>
    <definedName name="debtAmortisationDate">Assumptions!$E$41:$E$52</definedName>
    <definedName name="debtFacilityA">Assumptions!$D$82</definedName>
    <definedName name="debtSchedule">Model!$F$31</definedName>
    <definedName name="DebtScheduleλ">_xlfn.LAMBDA(_xlpm.modelStart,_xlpm.modelDuration,_xlpm.date,_xlpm.initialAmount,_xlpm.payment,_xlpm.rate,_xlfn.LET(_xlpm.counter, _xlfn.SEQUENCE(1, 12 * _xlpm.modelDuration), _xlpm.blankRow, IF(_xlpm.counter &gt; 0, ""), _xlpm.periodEnd, EOMONTH(_xlpm.modelStart, _xlpm.counter - 1), _xlpm.payments, (-1) * SUMIFS(_xlpm.payment, _xlpm.date, _xlpm.periodEnd), _xlpm.closing, _xlfn.SCAN(_xlpm.initialAmount, _xlpm.payments, _xlfn.LAMBDA(_xlpm.x,_xlpm.y, _xlpm.x + _xlpm.y)), _xlpm.opening, _xlpm.closing - _xlpm.payments, _xlpm.interest, _xlpm.opening * _xlpm.rate, _xlfn.VSTACK(_xlpm.opening, _xlpm.payments, _xlpm.closing, _xlpm.blankRow, _xlpm.interest)))</definedName>
    <definedName name="demo">[1]FFTDemo!$B$11</definedName>
    <definedName name="depreciation">#REF!</definedName>
    <definedName name="depreciationMonthly">Assumptions!$D$87</definedName>
    <definedName name="DeprRate">'Q&amp;A'!$D$11</definedName>
    <definedName name="DFT">[1]FFTDemo!$E$11</definedName>
    <definedName name="DFT_CAPEX">#REF!</definedName>
    <definedName name="DFT_rate">#REF!</definedName>
    <definedName name="directCashFlows">Model!$F$57:$AO$62</definedName>
    <definedName name="FFTλ">_xlfn.LAMBDA(_xlpm.x,_xlop.n,_xlfn.LET(_xlpm.n₀, IF(_xlfn.ISOMITTED(_xlpm.n), ROWS(_xlpm.x), _xlpm.n), _xlpm.m₀, _xlfn.CEILING.MATH(LOG(_xlpm.n₀, 2)), _xlpm.n⁺, 2 ^ _xlpm.m₀, _xlpm.x⁺, _xlfn.EXPAND(_xlpm.x, _xlpm.n⁺, 2, 0), _xlpm.k, _xlfn.SEQUENCE(_xlpm.m₀), _xlpm.p, 2 ^ _xlpm.k, _xlpm.z, _xlfn.REDUCE(_xlpm.x⁺, (2 ^ _xlpm.m₀) / _xlpm.p, I⊗S), _xlpm.fft, _xlfn.REDUCE(_xlpm.z, _xlpm.p, I⊗B(1)), Wrapλ(_xlpm.fft, _xlpm.n⁺)))</definedName>
    <definedName name="I⊗B">_xlfn.LAMBDA(_xlpm.sign,_xlfn.LAMBDA(_xlpm.z,_xlpm.p, _xlfn.LET(_xlpm.w, Ω(_xlpm.p / 2, _xlpm.sign), _xlpm.zˣ, Wrapλ(_xlpm.z, _xlpm.p), _xlpm.z₀, _xlfn.TAKE(_xlpm.zˣ, _xlpm.p / 2), _xlpm.z₁, _xlfn.TAKE(_xlpm.zˣ, -_xlpm.p / 2), _xlpm.τ, cProductλ(_xlpm.w, _xlpm.z₁), _xlpm.zʹ, _xlfn.VSTACK(_xlpm.z₀ + _xlpm.τ, _xlpm.z₀ - _xlpm.τ), _xlpm.zʹ)))</definedName>
    <definedName name="I⊗S">_xlfn.LAMBDA(_xlpm.x,_xlpm.p,_xlfn.LET(_xlpm.w, Wrapλ(_xlpm.x, 2), _xlpm.x₀, _xlfn.TAKE(_xlpm.w, 1), _xlpm.x₁, _xlfn.TAKE(_xlpm.w, -1), _xlpm.y₀, Wrapλ(_xlpm.x₀, _xlpm.p), _xlpm.y₁, Wrapλ(_xlpm.x₁, _xlpm.p), _xlpm.y, _xlfn.VSTACK(_xlpm.y₀, _xlpm.y₁), _xlpm.y))</definedName>
    <definedName name="IFFTλ">_xlfn.LAMBDA(_xlpm.x,_xlop.n,_xlfn.LET(_xlpm.n₀, IF(_xlfn.ISOMITTED(_xlpm.n), ROWS(_xlpm.x), _xlpm.n), _xlpm.m₀, _xlfn.CEILING.MATH(LOG(_xlpm.n₀, 2)), _xlpm.n⁺, 2 ^ _xlpm.m₀, _xlpm.x⁺, _xlfn.EXPAND(_xlpm.x, _xlpm.n⁺, 2, 0), _xlpm.k, _xlfn.SEQUENCE(_xlpm.m₀), _xlpm.p, 2 ^ _xlpm.k, _xlpm.z, _xlfn.REDUCE(_xlpm.x⁺, (2 ^ _xlpm.m₀) / _xlpm.p, I⊗S), _xlpm.fft, _xlfn.REDUCE(_xlpm.z, _xlpm.p, I⊗B(-1)) / _xlpm.n⁺, Wrapλ(_xlpm.fft, _xlpm.n⁺)))</definedName>
    <definedName name="Im">_xlfn.LAMBDA(_xlpm.z,_xlfn.TAKE(_xlpm.z, , -COLUMNS(_xlpm.z) / 2))</definedName>
    <definedName name="incomeStatement">Model!$F$19</definedName>
    <definedName name="IncomeStatementλ" comment="Builds income statement">_xlfn.LAMBDA(_xlpm.units,_xlpm.price,_xlpm.costs,_xlpm.depreciation,_xlpm.interest,_xlfn.LET(_xlpm.counter, _xlfn.SEQUENCE(1, 12 * modelDuration), _xlpm.revenue, _xlpm.units * _xlpm.price, _xlpm.COGS, (-1) * _xlpm.units * _xlpm.costs, _xlpm.grossProfit, _xlpm.revenue + _xlpm.COGS, _xlpm.indirectCost, (-1) * SeasonalityGrowthλ(baseIndirectCosts, indirectCostGrowth, ), _xlpm.EBITDA, _xlpm.grossProfit + _xlpm.indirectCost, _xlpm.depr, (-1) * IF(_xlpm.counter, _xlpm.depreciation), _xlpm.EBIT, _xlpm.EBITDA + _xlpm.depr, _xlpm.interest1, (-1) * _xlpm.interest, _xlpm.tax, IF(_xlpm.counter, 0), _xlpm.netIncome, _xlpm.EBIT + _xlpm.interest1 + _xlpm.tax, _xlfn.VSTACK(_xlpm.revenue, _xlpm.COGS, _xlpm.grossProfit, _xlpm.indirectCost, _xlpm.EBITDA, _xlpm.depr, _xlpm.EBIT, _xlpm.interest1, _xlpm.tax, _xlpm.netIncome)))</definedName>
    <definedName name="indirectCostGrowth">Assumptions!$E$36:$H$36</definedName>
    <definedName name="interest" comment="Interest, as read from final line of debt schedule">_xlfn.TAKE(_xlfn.ANCHORARRAY(debtSchedule), -1)</definedName>
    <definedName name="interestRate">Assumptions!$E$82</definedName>
    <definedName name="InvDFT">[1]FFTDemo!$H$11</definedName>
    <definedName name="line">[1]FFTDemo!#REF!</definedName>
    <definedName name="modelDuration">Assumptions!$E$12</definedName>
    <definedName name="modelStart">Assumptions!$E$11</definedName>
    <definedName name="Multiplyλ" comment="Applies periodic growth factors">_xlfn.LAMBDA(_xlpm.x,_xlpm.y,_xlpm.x * _xlpm.y)</definedName>
    <definedName name="n">[1]FFTNotes!$C$15</definedName>
    <definedName name="netCashFlow">Model!$F$64</definedName>
    <definedName name="openingAccountsPayable">Assumptions!$D$81</definedName>
    <definedName name="openingAccReceivable">Assumptions!$D$76</definedName>
    <definedName name="openingAPBalance">Model!$F$47</definedName>
    <definedName name="openingARBalance">Model!$F$39</definedName>
    <definedName name="openingCash">Assumptions!$D$75</definedName>
    <definedName name="openingCashPaymentTiming">Assumptions!$E$68:$G$68</definedName>
    <definedName name="openingCashReceiptTiming">Assumptions!$E$60:$G$60</definedName>
    <definedName name="PPE">Assumptions!$D$77</definedName>
    <definedName name="quarterlySeasonality">Assumptions!$E$17:$H$17</definedName>
    <definedName name="repayment">_xlfn.CHOOSEROWS(_xlfn.ANCHORARRAY(debtSchedule), 2)</definedName>
    <definedName name="revenue" comment="Revenue as taken from first line of Income statement">_xlfn.TAKE(_xlfn.ANCHORARRAY(incomeStatement), 1)</definedName>
    <definedName name="Rℓ">_xlfn.LAMBDA(_xlpm.z,_xlfn.TAKE(_xlpm.z, , COLUMNS(_xlpm.z) / 2))</definedName>
    <definedName name="Rn" comment="Applies the bit-reversal matrix to a vector x">_xlfn.LAMBDA(_xlpm.x,_xlop.n,_xlfn.LET(_xlpm.m, IF(_xlfn.ISOMITTED(_xlpm.n), LOG(ROWS(_xlpm.x), 2), LOG(_xlpm.n, 2)), _xlpm.k, _xlfn.SEQUENCE(_xlpm.m - 1), _xlpm.p, 2 ^ (_xlpm.m - _xlpm.k), _xlfn.REDUCE(_xlpm.x, _xlpm.p, [0]!I⊗S)))</definedName>
    <definedName name="salesGrowth">Assumptions!$E$23:$H$23</definedName>
    <definedName name="scenarioEffectiveDate">Assumptions!$D$96</definedName>
    <definedName name="ScenarioPriceIncrease">Assumptions!$D$97</definedName>
    <definedName name="ScenarioVolumeDecrease">Assumptions!$D$98</definedName>
    <definedName name="Scenarioλ" comment="Calculates unit sales on the basis of input growth and seasonality and implements scenario for both units and price">_xlfn.LAMBDA(_xlpm.variant,_xlpm.baseUnitsSold,_xlpm.salesGrowth,_xlpm.quarterlySeasonality,_xlpm.ScenarioVolumeDecrease,_xlpm.unitSalesPrice,_xlpm.scenarioEffectiveDate,_xlpm.ScenarioPriceIncrease,_xlfn.LET(_xlpm.endOfPeriod, _xlfn.CHOOSEROWS(_xlfn.ANCHORARRAY(timing), 3), _xlpm.unitSalesBase, SeasonalityGrowthλ(_xlpm.baseUnitsSold, _xlpm.salesGrowth, _xlpm.quarterlySeasonality), _xlpm.change, _xlpm.endOfPeriod &gt;= _xlpm.scenarioEffectiveDate, _xlpm.blankrow, IF(_xlpm.endOfPeriod, ""), _xlpm.unitSales, _xlfn.SWITCH(_xlpm.variant, TRUE, _xlpm.unitSalesBase * IF(_xlpm.change, (1 + _xlpm.ScenarioVolumeDecrease), 1), FALSE, _xlpm.unitSalesBase), _xlpm.unitAdjPrice, _xlfn.SWITCH(_xlpm.variant, TRUE, _xlpm.unitSalesPrice * IF(_xlpm.change, 1 + _xlpm.ScenarioPriceIncrease, 1), FALSE, IF(_xlpm.endOfPeriod, _xlpm.unitSalesPrice)), _xlfn.VSTACK(_xlpm.unitSales, _xlpm.blankrow, _xlpm.unitAdjPrice)))</definedName>
    <definedName name="SeasonalityGrowthλ" comment="Applies growth and seasonality to base figure">_xlfn.LAMBDA(_xlpm.base,_xlpm.growth,_xlop.seasonality,_xlfn.LET(_xlpm.escalationFactor, _xlfn.SCAN(_xlpm.base, 1 + _xlpm.growth, Multiplyλ), _xlpm.seasonality1, IF(_xlfn.ISOMITTED(_xlpm.seasonality), {1,1,1,1} / 4, _xlpm.seasonality), _xlpm.seasonalityArr, _xlfn.TOCOL({1;1;1} * _xlpm.seasonality1, , 1), _xlpm.combined, _xlpm.seasonalityArr * _xlpm.escalationFactor, _xlpm.values, _xlfn.TOROW(_xlpm.combined, , 1) / 3, TrimToModelλ(_xlpm.values, modelStart, modelDuration)))</definedName>
    <definedName name="size">[1]FFTDemo!$C$7</definedName>
    <definedName name="Sumλ" comment="Lambda for a single array SUM ">_xlfn.LAMBDA(_xlpm.x,SUM(_xlpm.x))</definedName>
    <definedName name="timing">Model!$F$6</definedName>
    <definedName name="TimingBlockλ" comment="Returns timing block">_xlfn.LAMBDA(_xlpm.modelStart,_xlpm.modelDuration,_xlfn.LET(_xlpm.counter, _xlfn.SEQUENCE(1, 12 * _xlpm.modelDuration), _xlpm.periodEnd, EOMONTH(_xlpm.modelStart, _xlpm.counter - 1), _xlpm.periodStart, 1 + EOMONTH(+_xlpm.periodEnd, -1), _xlpm.year, YEAR(_xlpm.periodEnd), _xlpm.quarter, 1 + QUOTIENT(MONTH(_xlpm.periodEnd) - 1, 3), _xlfn.VSTACK(_xlpm.counter, _xlpm.periodStart, _xlpm.periodEnd, _xlpm.year, _xlpm.quarter)))</definedName>
    <definedName name="TrimToModelλ">_xlfn.LAMBDA(_xlpm.qty,_xlpm.start,_xlpm.duration,_xlfn.TAKE(_xlfn.DROP(_xlpm.qty, , MONTH(_xlpm.start) - 1), , 12 * _xlpm.duration))</definedName>
    <definedName name="Types">[2]Model!$C$9:$C$10</definedName>
    <definedName name="unitDirectCosts">Assumptions!$E$30</definedName>
    <definedName name="unitPrice" comment="Scenario adjusted price read from 'unitSales'">_xlfn.TAKE(_xlfn.ANCHORARRAY(UnitSales), -1)</definedName>
    <definedName name="UnitSales">Model!$F$13</definedName>
    <definedName name="unitSalesBase">Model!#REF!</definedName>
    <definedName name="unitSalesPrice">Assumptions!$E$28</definedName>
    <definedName name="unitVolume" comment="Scenario adjusted volume read from 'unitSales'">_xlfn.TAKE(_xlfn.ANCHORARRAY(UnitSales), 1)</definedName>
    <definedName name="variant">Model!$D$13</definedName>
    <definedName name="WorkingCapitalFromOpeningλ" comment="Calculates balances from Accounts Receivable/Payable opening values">_xlfn.LAMBDA(_xlpm.openingAcc,_xlpm.openingCashTiming,_xlfn.LET(_xlpm.receipt, TRANSPOSE(Convolveλ(_xlpm.openingCashTiming, _xlpm.openingAcc)), _xlfn.SCAN(_xlpm.openingAcc, -_xlpm.receipt, Addλ)))</definedName>
    <definedName name="WorkingCapitalλ" comment="Calculates balances from Accounts Receivable/Payable">_xlfn.LAMBDA(_xlpm.amounts,_xlpm.timing,_xlfn.LET(_xlpm.convolve, _xlfn.TAKE(Convolveλ(_xlpm.timing, _xlpm.amounts), 12 * modelDuration), _xlpm.cashChange, (-1) * TRANSPOSE(_xlpm.convolve), _xlpm.closing, _xlfn.SCAN(0, _xlpm.amounts + _xlpm.cashChange, Addλ), _xlpm.opening, _xlpm.closing - (_xlpm.amounts + _xlpm.cashChange), _xlfn.VSTACK(_xlpm.opening, _xlpm.amounts, _xlpm.cashChange, _xlpm.closing)))</definedName>
    <definedName name="Wrapλ">_xlfn.LAMBDA(_xlpm.z,_xlpm.p,_xlfn.WRAPCOLS(_xlfn.TOCOL(_xlpm.z, , 1), _xlpm.p))</definedName>
    <definedName name="x">[1]FFTNotes!$B$18</definedName>
    <definedName name="π">PI()</definedName>
    <definedName name="Ω">_xlfn.LAMBDA(_xlpm.n,_xlpm.sign,_xlfn.LET(_xlpm.k, _xlfn.SEQUENCE(_xlpm.n, , 0, _xlpm.sign), _xlfn.HSTACK(COS(π * _xlpm.k / _xlpm.n), -SIN(π * _xlpm.k / _xlpm.n))))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8" i="1" l="1"/>
  <c r="H65" i="1"/>
  <c r="G60" i="1"/>
  <c r="H57" i="1"/>
  <c r="H17" i="1"/>
  <c r="F22" i="1" a="1"/>
  <c r="F22" i="1" s="1"/>
  <c r="D83" i="1"/>
  <c r="D78" i="1"/>
  <c r="A3" i="5"/>
  <c r="B3" i="5"/>
  <c r="C3" i="5"/>
  <c r="A1" i="5"/>
  <c r="B1" i="5" a="1"/>
  <c r="B1" i="5" s="1"/>
  <c r="C1" i="5"/>
  <c r="D1" i="5"/>
  <c r="E1" i="5"/>
  <c r="E47" i="2" l="1"/>
  <c r="F39" i="2" a="1"/>
  <c r="F39" i="2" s="1"/>
  <c r="F47" i="2" a="1"/>
  <c r="F47" i="2" s="1"/>
  <c r="E39" i="2"/>
  <c r="B15" i="2"/>
  <c r="B13" i="2"/>
  <c r="F35" i="1" a="1"/>
  <c r="F35" i="1" s="1"/>
  <c r="E66" i="2"/>
  <c r="E30" i="1" l="1"/>
  <c r="F31" i="2" a="1"/>
  <c r="F31" i="2" s="1"/>
  <c r="F6" i="2" a="1"/>
  <c r="F6" i="2" s="1"/>
  <c r="F13" i="2" s="1" a="1"/>
  <c r="F13" i="2" s="1"/>
  <c r="B12" i="3"/>
  <c r="G10" i="3"/>
  <c r="A4" i="3" a="1"/>
  <c r="A4" i="3"/>
  <c r="F21" i="1"/>
  <c r="G21" i="1" s="1"/>
  <c r="H21" i="1" s="1"/>
  <c r="F34" i="1"/>
  <c r="G34" i="1" s="1"/>
  <c r="H34" i="1" s="1"/>
  <c r="F16" i="1"/>
  <c r="G16" i="1"/>
  <c r="H16" i="1" s="1"/>
  <c r="F19" i="2" l="1" a="1"/>
  <c r="F19" i="2" s="1"/>
  <c r="F50" i="2" s="1" a="1"/>
  <c r="F50" i="2" s="1"/>
  <c r="F42" i="2" l="1" a="1"/>
  <c r="F42" i="2" s="1"/>
  <c r="F57" i="2" s="1" a="1"/>
  <c r="F57" i="2" s="1"/>
  <c r="B4" i="3"/>
  <c r="G12" i="3" l="1"/>
  <c r="G11" i="3" l="1"/>
  <c r="G14" i="3" s="1"/>
  <c r="G15" i="3" s="1"/>
  <c r="B10" i="3" l="1"/>
  <c r="G16" i="3"/>
  <c r="B5" i="3" l="1"/>
  <c r="B7" i="3" l="1"/>
  <c r="B11" i="3" l="1"/>
  <c r="B6" i="3" l="1"/>
  <c r="B9" i="3" l="1"/>
  <c r="B8" i="3" l="1" a="1"/>
  <c r="B8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<sst xmlns="http://schemas.openxmlformats.org/spreadsheetml/2006/main" count="145" uniqueCount="126">
  <si>
    <t>ModelOff 2013</t>
  </si>
  <si>
    <t>All values in $ unless specified</t>
  </si>
  <si>
    <t>Assumptions</t>
  </si>
  <si>
    <t>Quarterly seasonality of sales</t>
  </si>
  <si>
    <t>Widget Sales</t>
  </si>
  <si>
    <t>Units Sold</t>
  </si>
  <si>
    <t>Sales Growth</t>
  </si>
  <si>
    <t>Current Sales Price and Margin:</t>
  </si>
  <si>
    <t xml:space="preserve">Contribution Margin </t>
  </si>
  <si>
    <t>Indirect Costs</t>
  </si>
  <si>
    <t>Indirect Cost Growth</t>
  </si>
  <si>
    <t xml:space="preserve"> *Indirect Costs are fixed and occur monthy irrespective of sales. </t>
  </si>
  <si>
    <t>Debt amortisation schedule</t>
  </si>
  <si>
    <t>Date</t>
  </si>
  <si>
    <t>$</t>
  </si>
  <si>
    <t>Cash Receipts Timing</t>
  </si>
  <si>
    <t>Sale</t>
  </si>
  <si>
    <t xml:space="preserve">Month +1 </t>
  </si>
  <si>
    <t>Month +2</t>
  </si>
  <si>
    <t>Month +3</t>
  </si>
  <si>
    <t>Cash Receipts on Sales</t>
  </si>
  <si>
    <t>Cash Receipts on Opening Receivables</t>
  </si>
  <si>
    <t>Cash Payments Timing</t>
  </si>
  <si>
    <t>Purchase</t>
  </si>
  <si>
    <t>Cash Payments on Purchases</t>
  </si>
  <si>
    <t>Cash Payments on Opening Payables</t>
  </si>
  <si>
    <t>The above schedule is applicable to both direct and indirect costs</t>
  </si>
  <si>
    <t>Assets and Liabilities</t>
  </si>
  <si>
    <t>Assets</t>
  </si>
  <si>
    <t xml:space="preserve">Opening </t>
  </si>
  <si>
    <t>Cash</t>
  </si>
  <si>
    <t>Accounts Receivable</t>
  </si>
  <si>
    <t>Property Plant and Equipment</t>
  </si>
  <si>
    <t>Liabilities</t>
  </si>
  <si>
    <t>Interest</t>
  </si>
  <si>
    <t>Accounts Payable</t>
  </si>
  <si>
    <t xml:space="preserve">Debt Facility A </t>
  </si>
  <si>
    <t>Depreciation and Capex</t>
  </si>
  <si>
    <t>Depreciation</t>
  </si>
  <si>
    <t>per month</t>
  </si>
  <si>
    <t>Taxation</t>
  </si>
  <si>
    <t>Slick Micks has substantial historic tax losses. Assume that no tax will be payable for the period of analysis.</t>
  </si>
  <si>
    <t>Forecast</t>
  </si>
  <si>
    <t>Counter</t>
  </si>
  <si>
    <t>Start of Period</t>
  </si>
  <si>
    <t>End of Period</t>
  </si>
  <si>
    <t>* assume months within each quarter have equal sales irrespective of the number of days in each month</t>
  </si>
  <si>
    <t>*No capital expenditure is forecast over the next 3 years</t>
  </si>
  <si>
    <t>*Simple interest p.a with interest paid at month end</t>
  </si>
  <si>
    <t>Sale Price per unit</t>
  </si>
  <si>
    <t xml:space="preserve">* Note that in this case, no marks will be awarded nor deducted should entrants choose to complete this exercise below or on another tab of this workbook. </t>
  </si>
  <si>
    <t>* assume escalation in sales takes effect instantly from 1 January</t>
  </si>
  <si>
    <t>Total Assets</t>
  </si>
  <si>
    <t>Total Liabilities</t>
  </si>
  <si>
    <t>Round 2 - Hard Times</t>
  </si>
  <si>
    <t>Year</t>
  </si>
  <si>
    <t>Quarter</t>
  </si>
  <si>
    <t>Revenue</t>
  </si>
  <si>
    <t>COGS</t>
  </si>
  <si>
    <t>Direct costs per unit</t>
  </si>
  <si>
    <t>Gross profit</t>
  </si>
  <si>
    <t>Indirect cost</t>
  </si>
  <si>
    <t>EBITDA</t>
  </si>
  <si>
    <t>EBIT</t>
  </si>
  <si>
    <t>Tax</t>
  </si>
  <si>
    <t>Net income</t>
  </si>
  <si>
    <t>Income Statement</t>
  </si>
  <si>
    <t>Debt schedule</t>
  </si>
  <si>
    <t>Opening</t>
  </si>
  <si>
    <t>Repayment</t>
  </si>
  <si>
    <t>Closing</t>
  </si>
  <si>
    <t>Working capital</t>
  </si>
  <si>
    <t>Opening A/R balance</t>
  </si>
  <si>
    <t>New A/R</t>
  </si>
  <si>
    <t>Sales</t>
  </si>
  <si>
    <t>Receipts</t>
  </si>
  <si>
    <t>Opening A/P balance</t>
  </si>
  <si>
    <t>New A/P</t>
  </si>
  <si>
    <t>Expenses</t>
  </si>
  <si>
    <t>Payments</t>
  </si>
  <si>
    <t>Cash flow - Direct</t>
  </si>
  <si>
    <t>Receipts on sales</t>
  </si>
  <si>
    <t>Payments on COGS + indirect expenses</t>
  </si>
  <si>
    <t>Debt interest</t>
  </si>
  <si>
    <t>Debt principal</t>
  </si>
  <si>
    <t>Net cash flow</t>
  </si>
  <si>
    <t>Closing cash</t>
  </si>
  <si>
    <t>A</t>
  </si>
  <si>
    <t>C</t>
  </si>
  <si>
    <t>B</t>
  </si>
  <si>
    <t>Opening DB</t>
  </si>
  <si>
    <t>Sales in period</t>
  </si>
  <si>
    <t>Days in period</t>
  </si>
  <si>
    <t>Target avg balance</t>
  </si>
  <si>
    <t>Target days</t>
  </si>
  <si>
    <t>Target closing balance</t>
  </si>
  <si>
    <t>Check</t>
  </si>
  <si>
    <t>Board scenario</t>
  </si>
  <si>
    <t>Effective date</t>
  </si>
  <si>
    <t>Sales price increase</t>
  </si>
  <si>
    <t>Volume decrease</t>
  </si>
  <si>
    <t>Active?</t>
  </si>
  <si>
    <t>Link</t>
  </si>
  <si>
    <t>Hard code</t>
  </si>
  <si>
    <t>Q4-2015</t>
  </si>
  <si>
    <t>Q7 workings</t>
  </si>
  <si>
    <t>Questions and answers</t>
  </si>
  <si>
    <t>Option</t>
  </si>
  <si>
    <t>#</t>
  </si>
  <si>
    <t>Read me</t>
  </si>
  <si>
    <t>This model was prepared under time pressure as in the competition - it's not a total mess, but it's definitely not 'best practice' either.</t>
  </si>
  <si>
    <t>You can watch a live recording of the model being prepared here:</t>
  </si>
  <si>
    <t>You can find most of the ModelOff past questions here:</t>
  </si>
  <si>
    <t>https://drive.google.com/drive/folders/1IsojxZw9K8ZbAHwduQiO6pihWFwJ09fu?usp=sharing</t>
  </si>
  <si>
    <t>I strongly encourage you to try the questions yourself before looking at my solution.</t>
  </si>
  <si>
    <t>I'll be posting video walkthroughs of other ModelOff problems on my YouTube channel (below).</t>
  </si>
  <si>
    <t>Diarmuid Early</t>
  </si>
  <si>
    <t>youtube.com/@DimEarly</t>
  </si>
  <si>
    <t>linkedin.com/in/diarmuidearly/</t>
  </si>
  <si>
    <t>https://youtu.be/raa74UUPPSY</t>
  </si>
  <si>
    <t>This is a sample solution to a case from Round 2 of ModelOff (the financial modeling competition) from 2013.</t>
  </si>
  <si>
    <t>Timing</t>
  </si>
  <si>
    <t>Model start</t>
  </si>
  <si>
    <t>Model duration</t>
  </si>
  <si>
    <t>λ</t>
  </si>
  <si>
    <t>Cash flow forecasting - case from ModelOff 2013, Round 2 - YouTube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</si>
</sst>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&quot;CY Q&quot;0"/>
    <numFmt numFmtId="165" formatCode="&quot; &quot;#,##0%&quot; &quot;;&quot; (&quot;#,##0%&quot;)&quot;;&quot; -&quot;00&quot; &quot;;&quot; &quot;@&quot; &quot;"/>
    <numFmt numFmtId="166" formatCode="&quot;CY &quot;0"/>
    <numFmt numFmtId="167" formatCode="&quot; &quot;#,##0&quot; &quot;;&quot; (&quot;#,##0&quot;)&quot;;&quot; -&quot;00&quot; &quot;;&quot; &quot;@&quot; &quot;"/>
    <numFmt numFmtId="168" formatCode="[$-C09]dd\-mmm\-yy;@"/>
    <numFmt numFmtId="169" formatCode="&quot; &quot;#,##0.0%&quot; &quot;;&quot; (&quot;#,##0.0%&quot;)&quot;;&quot; -&quot;00&quot; &quot;;&quot; &quot;@&quot; &quot;"/>
    <numFmt numFmtId="170" formatCode="&quot; &quot;#,##0.00&quot; &quot;;&quot; (&quot;#,##0.00&quot;)&quot;;&quot; -&quot;00&quot; &quot;;&quot; &quot;@&quot; &quot;"/>
    <numFmt numFmtId="171" formatCode="&quot; &quot;#,##0.00%&quot; &quot;;&quot; (&quot;#,##0.00%&quot;)&quot;;&quot; -&quot;00&quot; &quot;;&quot; &quot;@&quot; &quot;"/>
    <numFmt numFmtId="172" formatCode="_-[$$-C09]* #,##0.00_-;\-[$$-C09]* #,##0.00_-;_-[$$-C09]* &quot;-&quot;??_-;_-@_-"/>
    <numFmt numFmtId="173" formatCode="_-[$$-C09]* #,##0_-;\-[$$-C09]* #,##0_-;_-[$$-C09]* &quot;-&quot;??_-;_-@_-"/>
    <numFmt numFmtId="174" formatCode="&quot; &quot;#,##0%&quot; &quot;;&quot; (&quot;#,##0%&quot;)&quot;;&quot; - &quot;;&quot; &quot;@&quot; &quot;"/>
    <numFmt numFmtId="175" formatCode="\ _-#,##0.00;\ \-#,##0.00;\…;@"/>
    <numFmt numFmtId="176" formatCode="_(* #,##0.00_);_(* \(#,##0.00\);_(* &quot;-&quot;??_);_(@_)"/>
  </numFmts>
  <fonts count="23" x14ac:knownFonts="1">
    <font>
      <sz val="10"/>
      <color rgb="FF000000"/>
      <name val="Arial"/>
      <family val="2"/>
    </font>
    <font>
      <sz val="14"/>
      <color theme="1"/>
      <name val="Consolas"/>
      <family val="2"/>
    </font>
    <font>
      <sz val="20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800000"/>
      <name val="Arial"/>
      <family val="2"/>
    </font>
    <font>
      <sz val="10"/>
      <color rgb="FFFFFFFF"/>
      <name val="Arial"/>
      <family val="2"/>
    </font>
    <font>
      <sz val="10"/>
      <color rgb="FFFFFFFF"/>
      <name val="Calibri Light"/>
      <family val="2"/>
    </font>
    <font>
      <b/>
      <sz val="10"/>
      <color rgb="FFFFFFFF"/>
      <name val="Calibri Light"/>
      <family val="2"/>
    </font>
    <font>
      <i/>
      <sz val="10"/>
      <color rgb="FFFFFFFF"/>
      <name val="Calibri Light"/>
      <family val="2"/>
    </font>
    <font>
      <sz val="10"/>
      <color rgb="FF000000"/>
      <name val="Calibri Light"/>
      <family val="2"/>
    </font>
    <font>
      <b/>
      <sz val="10"/>
      <color rgb="FF000000"/>
      <name val="Calibri Light"/>
      <family val="2"/>
    </font>
    <font>
      <b/>
      <sz val="10"/>
      <color rgb="FF0070C0"/>
      <name val="Calibri Light"/>
      <family val="2"/>
    </font>
    <font>
      <sz val="10"/>
      <color rgb="FF4472C4"/>
      <name val="Calibri Light"/>
      <family val="2"/>
    </font>
    <font>
      <i/>
      <sz val="10"/>
      <color rgb="FF000000"/>
      <name val="Calibri Light"/>
      <family val="2"/>
    </font>
    <font>
      <sz val="11"/>
      <color rgb="FF000000"/>
      <name val="Calibri Light"/>
      <family val="2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6"/>
      <color theme="1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14"/>
      <name val="Consolas"/>
      <family val="3"/>
    </font>
    <font>
      <sz val="10"/>
      <color theme="1"/>
      <name val="Calibri Light"/>
      <family val="2"/>
    </font>
    <font>
      <u/>
      <sz val="10"/>
      <color theme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EF4136"/>
        <bgColor rgb="FFEF4136"/>
      </patternFill>
    </fill>
    <fill>
      <patternFill patternType="solid">
        <fgColor rgb="FFFFFFFF"/>
        <bgColor rgb="FFFFFFFF"/>
      </patternFill>
    </fill>
    <fill>
      <patternFill patternType="solid">
        <fgColor rgb="FF0070C0"/>
        <bgColor rgb="FF0070C0"/>
      </patternFill>
    </fill>
    <fill>
      <patternFill patternType="solid">
        <fgColor rgb="FFC0C0C0"/>
        <bgColor rgb="FFC0C0C0"/>
      </patternFill>
    </fill>
    <fill>
      <patternFill patternType="solid">
        <fgColor rgb="FFFFF2CC"/>
        <bgColor rgb="FFFFF2CC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FFFFFF"/>
      </patternFill>
    </fill>
    <fill>
      <patternFill patternType="solid">
        <fgColor theme="0" tint="-0.34998626667073579"/>
        <bgColor rgb="FFC0C0C0"/>
      </patternFill>
    </fill>
    <fill>
      <patternFill patternType="solid">
        <fgColor theme="0" tint="-0.34998626667073579"/>
        <bgColor indexed="64"/>
      </patternFill>
    </fill>
  </fills>
  <borders count="19">
    <border>
      <left/>
      <right/>
      <top/>
      <bottom/>
      <diagonal/>
    </border>
    <border>
      <left style="thin">
        <color rgb="FF595959"/>
      </left>
      <right style="thin">
        <color rgb="FF595959"/>
      </right>
      <top style="thin">
        <color rgb="FF595959"/>
      </top>
      <bottom style="thin">
        <color rgb="FF595959"/>
      </bottom>
      <diagonal/>
    </border>
    <border>
      <left/>
      <right/>
      <top style="thin">
        <color rgb="FF595959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595959"/>
      </right>
      <top style="thin">
        <color rgb="FF000000"/>
      </top>
      <bottom style="thin">
        <color rgb="FF595959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595959"/>
      </left>
      <right style="thin">
        <color rgb="FF595959"/>
      </right>
      <top style="thin">
        <color rgb="FF595959"/>
      </top>
      <bottom style="thin">
        <color rgb="FF000000"/>
      </bottom>
      <diagonal/>
    </border>
    <border>
      <left style="thin">
        <color rgb="FF595959"/>
      </left>
      <right style="thin">
        <color rgb="FF000000"/>
      </right>
      <top style="thin">
        <color rgb="FF595959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595959"/>
      </top>
      <bottom style="thin">
        <color rgb="FF595959"/>
      </bottom>
      <diagonal/>
    </border>
    <border>
      <left style="thin">
        <color rgb="FF000000"/>
      </left>
      <right style="thin">
        <color rgb="FF000000"/>
      </right>
      <top style="thin">
        <color rgb="FF595959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</borders>
  <cellStyleXfs count="11">
    <xf numFmtId="0" fontId="0" fillId="0" borderId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4" fillId="2" borderId="1" applyNumberFormat="0" applyAlignment="0">
      <protection locked="0"/>
    </xf>
    <xf numFmtId="0" fontId="3" fillId="0" borderId="2" applyNumberFormat="0" applyFont="0" applyFill="0" applyAlignment="0" applyProtection="0"/>
    <xf numFmtId="0" fontId="5" fillId="3" borderId="3" applyNumberFormat="0" applyProtection="0">
      <alignment vertical="center" wrapText="1"/>
    </xf>
    <xf numFmtId="0" fontId="16" fillId="0" borderId="0"/>
    <xf numFmtId="0" fontId="1" fillId="0" borderId="0"/>
    <xf numFmtId="17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104">
    <xf numFmtId="0" fontId="0" fillId="0" borderId="0" xfId="0"/>
    <xf numFmtId="0" fontId="0" fillId="4" borderId="0" xfId="0" applyFill="1"/>
    <xf numFmtId="0" fontId="6" fillId="5" borderId="0" xfId="0" applyFont="1" applyFill="1"/>
    <xf numFmtId="0" fontId="7" fillId="5" borderId="0" xfId="0" applyFont="1" applyFill="1"/>
    <xf numFmtId="0" fontId="8" fillId="5" borderId="0" xfId="0" applyFont="1" applyFill="1"/>
    <xf numFmtId="0" fontId="9" fillId="4" borderId="0" xfId="0" applyFont="1" applyFill="1"/>
    <xf numFmtId="0" fontId="10" fillId="6" borderId="0" xfId="0" applyFont="1" applyFill="1"/>
    <xf numFmtId="0" fontId="9" fillId="6" borderId="0" xfId="0" applyFont="1" applyFill="1"/>
    <xf numFmtId="0" fontId="9" fillId="0" borderId="0" xfId="0" applyFont="1"/>
    <xf numFmtId="0" fontId="11" fillId="4" borderId="0" xfId="0" applyFont="1" applyFill="1"/>
    <xf numFmtId="0" fontId="9" fillId="4" borderId="6" xfId="0" applyFont="1" applyFill="1" applyBorder="1"/>
    <xf numFmtId="164" fontId="7" fillId="5" borderId="3" xfId="5" applyNumberFormat="1" applyFont="1" applyFill="1" applyProtection="1">
      <alignment vertical="center" wrapText="1"/>
    </xf>
    <xf numFmtId="165" fontId="12" fillId="7" borderId="1" xfId="3" applyNumberFormat="1" applyFont="1" applyFill="1">
      <protection locked="0"/>
    </xf>
    <xf numFmtId="9" fontId="9" fillId="0" borderId="1" xfId="3" applyNumberFormat="1" applyFont="1" applyFill="1" applyProtection="1"/>
    <xf numFmtId="0" fontId="10" fillId="4" borderId="0" xfId="0" applyFont="1" applyFill="1"/>
    <xf numFmtId="0" fontId="10" fillId="4" borderId="4" xfId="0" applyFont="1" applyFill="1" applyBorder="1"/>
    <xf numFmtId="0" fontId="9" fillId="4" borderId="4" xfId="0" applyFont="1" applyFill="1" applyBorder="1"/>
    <xf numFmtId="166" fontId="7" fillId="5" borderId="7" xfId="5" applyNumberFormat="1" applyFont="1" applyFill="1" applyBorder="1" applyProtection="1">
      <alignment vertical="center" wrapText="1"/>
    </xf>
    <xf numFmtId="0" fontId="9" fillId="8" borderId="10" xfId="0" applyFont="1" applyFill="1" applyBorder="1"/>
    <xf numFmtId="165" fontId="12" fillId="7" borderId="11" xfId="3" applyNumberFormat="1" applyFont="1" applyFill="1" applyBorder="1">
      <protection locked="0"/>
    </xf>
    <xf numFmtId="165" fontId="12" fillId="7" borderId="12" xfId="3" applyNumberFormat="1" applyFont="1" applyFill="1" applyBorder="1">
      <protection locked="0"/>
    </xf>
    <xf numFmtId="168" fontId="7" fillId="5" borderId="7" xfId="5" applyNumberFormat="1" applyFont="1" applyFill="1" applyBorder="1" applyProtection="1">
      <alignment vertical="center" wrapText="1"/>
    </xf>
    <xf numFmtId="167" fontId="9" fillId="4" borderId="0" xfId="1" applyNumberFormat="1" applyFont="1" applyFill="1"/>
    <xf numFmtId="165" fontId="12" fillId="7" borderId="1" xfId="2" applyNumberFormat="1" applyFont="1" applyFill="1" applyBorder="1" applyProtection="1">
      <protection locked="0"/>
    </xf>
    <xf numFmtId="0" fontId="9" fillId="4" borderId="5" xfId="0" applyFont="1" applyFill="1" applyBorder="1"/>
    <xf numFmtId="166" fontId="7" fillId="5" borderId="3" xfId="5" applyNumberFormat="1" applyFont="1" applyFill="1" applyProtection="1">
      <alignment vertical="center" wrapText="1"/>
    </xf>
    <xf numFmtId="168" fontId="12" fillId="7" borderId="1" xfId="3" applyNumberFormat="1" applyFont="1" applyFill="1">
      <protection locked="0"/>
    </xf>
    <xf numFmtId="0" fontId="10" fillId="4" borderId="13" xfId="0" applyFont="1" applyFill="1" applyBorder="1"/>
    <xf numFmtId="0" fontId="9" fillId="4" borderId="13" xfId="0" applyFont="1" applyFill="1" applyBorder="1"/>
    <xf numFmtId="9" fontId="9" fillId="0" borderId="1" xfId="2" applyNumberFormat="1" applyFont="1" applyFill="1" applyBorder="1"/>
    <xf numFmtId="17" fontId="7" fillId="5" borderId="3" xfId="5" applyNumberFormat="1" applyFont="1" applyFill="1" applyProtection="1">
      <alignment vertical="center" wrapText="1"/>
    </xf>
    <xf numFmtId="0" fontId="11" fillId="4" borderId="4" xfId="0" applyFont="1" applyFill="1" applyBorder="1"/>
    <xf numFmtId="9" fontId="9" fillId="0" borderId="0" xfId="2" applyNumberFormat="1" applyFont="1" applyFill="1"/>
    <xf numFmtId="168" fontId="7" fillId="5" borderId="3" xfId="5" applyNumberFormat="1" applyFont="1" applyFill="1" applyProtection="1">
      <alignment vertical="center" wrapText="1"/>
    </xf>
    <xf numFmtId="169" fontId="12" fillId="7" borderId="14" xfId="2" applyNumberFormat="1" applyFont="1" applyFill="1" applyBorder="1" applyProtection="1">
      <protection locked="0"/>
    </xf>
    <xf numFmtId="0" fontId="13" fillId="4" borderId="0" xfId="0" applyFont="1" applyFill="1"/>
    <xf numFmtId="15" fontId="9" fillId="4" borderId="0" xfId="0" applyNumberFormat="1" applyFont="1" applyFill="1"/>
    <xf numFmtId="0" fontId="9" fillId="9" borderId="0" xfId="0" applyFont="1" applyFill="1"/>
    <xf numFmtId="0" fontId="9" fillId="10" borderId="0" xfId="0" applyFont="1" applyFill="1"/>
    <xf numFmtId="0" fontId="10" fillId="10" borderId="0" xfId="0" applyFont="1" applyFill="1"/>
    <xf numFmtId="0" fontId="10" fillId="10" borderId="4" xfId="0" applyFont="1" applyFill="1" applyBorder="1"/>
    <xf numFmtId="0" fontId="9" fillId="10" borderId="4" xfId="0" applyFont="1" applyFill="1" applyBorder="1"/>
    <xf numFmtId="0" fontId="9" fillId="10" borderId="5" xfId="0" applyFont="1" applyFill="1" applyBorder="1"/>
    <xf numFmtId="0" fontId="10" fillId="9" borderId="0" xfId="0" applyFont="1" applyFill="1"/>
    <xf numFmtId="0" fontId="10" fillId="9" borderId="4" xfId="0" applyFont="1" applyFill="1" applyBorder="1"/>
    <xf numFmtId="0" fontId="9" fillId="9" borderId="4" xfId="0" applyFont="1" applyFill="1" applyBorder="1"/>
    <xf numFmtId="0" fontId="9" fillId="11" borderId="0" xfId="0" applyFont="1" applyFill="1"/>
    <xf numFmtId="0" fontId="10" fillId="12" borderId="0" xfId="0" applyFont="1" applyFill="1"/>
    <xf numFmtId="0" fontId="9" fillId="12" borderId="0" xfId="0" applyFont="1" applyFill="1"/>
    <xf numFmtId="0" fontId="9" fillId="13" borderId="0" xfId="0" applyFont="1" applyFill="1"/>
    <xf numFmtId="173" fontId="12" fillId="7" borderId="8" xfId="3" applyNumberFormat="1" applyFont="1" applyFill="1" applyBorder="1">
      <protection locked="0"/>
    </xf>
    <xf numFmtId="172" fontId="12" fillId="7" borderId="1" xfId="3" applyNumberFormat="1" applyFont="1" applyFill="1">
      <protection locked="0"/>
    </xf>
    <xf numFmtId="173" fontId="12" fillId="7" borderId="1" xfId="3" applyNumberFormat="1" applyFont="1" applyFill="1">
      <protection locked="0"/>
    </xf>
    <xf numFmtId="174" fontId="12" fillId="7" borderId="1" xfId="2" applyNumberFormat="1" applyFont="1" applyFill="1" applyBorder="1" applyProtection="1">
      <protection locked="0"/>
    </xf>
    <xf numFmtId="173" fontId="12" fillId="7" borderId="14" xfId="3" applyNumberFormat="1" applyFont="1" applyFill="1" applyBorder="1">
      <protection locked="0"/>
    </xf>
    <xf numFmtId="173" fontId="12" fillId="7" borderId="15" xfId="3" applyNumberFormat="1" applyFont="1" applyFill="1" applyBorder="1">
      <protection locked="0"/>
    </xf>
    <xf numFmtId="173" fontId="9" fillId="0" borderId="16" xfId="4" applyNumberFormat="1" applyFont="1" applyBorder="1"/>
    <xf numFmtId="167" fontId="12" fillId="7" borderId="8" xfId="1" applyNumberFormat="1" applyFont="1" applyFill="1" applyBorder="1" applyProtection="1">
      <protection locked="0"/>
    </xf>
    <xf numFmtId="3" fontId="9" fillId="0" borderId="4" xfId="0" applyNumberFormat="1" applyFont="1" applyBorder="1"/>
    <xf numFmtId="3" fontId="9" fillId="0" borderId="9" xfId="0" applyNumberFormat="1" applyFont="1" applyBorder="1"/>
    <xf numFmtId="3" fontId="9" fillId="4" borderId="0" xfId="0" applyNumberFormat="1" applyFont="1" applyFill="1"/>
    <xf numFmtId="172" fontId="9" fillId="4" borderId="0" xfId="0" applyNumberFormat="1" applyFont="1" applyFill="1"/>
    <xf numFmtId="3" fontId="0" fillId="0" borderId="0" xfId="0" applyNumberFormat="1"/>
    <xf numFmtId="15" fontId="0" fillId="0" borderId="0" xfId="0" applyNumberFormat="1"/>
    <xf numFmtId="4" fontId="0" fillId="0" borderId="0" xfId="0" applyNumberFormat="1"/>
    <xf numFmtId="15" fontId="12" fillId="7" borderId="14" xfId="3" applyNumberFormat="1" applyFont="1" applyFill="1" applyBorder="1">
      <protection locked="0"/>
    </xf>
    <xf numFmtId="9" fontId="12" fillId="7" borderId="14" xfId="3" applyNumberFormat="1" applyFont="1" applyFill="1" applyBorder="1">
      <protection locked="0"/>
    </xf>
    <xf numFmtId="0" fontId="17" fillId="0" borderId="0" xfId="0" applyFont="1"/>
    <xf numFmtId="0" fontId="15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right"/>
    </xf>
    <xf numFmtId="0" fontId="15" fillId="0" borderId="0" xfId="6" applyFont="1"/>
    <xf numFmtId="0" fontId="2" fillId="0" borderId="0" xfId="6" applyFont="1"/>
    <xf numFmtId="0" fontId="18" fillId="0" borderId="0" xfId="6" applyFont="1"/>
    <xf numFmtId="0" fontId="19" fillId="0" borderId="0" xfId="6" applyFont="1"/>
    <xf numFmtId="14" fontId="0" fillId="0" borderId="0" xfId="0" applyNumberFormat="1"/>
    <xf numFmtId="175" fontId="20" fillId="0" borderId="0" xfId="0" applyNumberFormat="1" applyFont="1" applyAlignment="1">
      <alignment horizontal="right"/>
    </xf>
    <xf numFmtId="170" fontId="9" fillId="4" borderId="0" xfId="1" applyFont="1" applyFill="1"/>
    <xf numFmtId="167" fontId="9" fillId="10" borderId="0" xfId="1" applyNumberFormat="1" applyFont="1" applyFill="1"/>
    <xf numFmtId="3" fontId="9" fillId="4" borderId="17" xfId="0" applyNumberFormat="1" applyFont="1" applyFill="1" applyBorder="1"/>
    <xf numFmtId="3" fontId="9" fillId="4" borderId="18" xfId="0" applyNumberFormat="1" applyFont="1" applyFill="1" applyBorder="1"/>
    <xf numFmtId="0" fontId="9" fillId="4" borderId="17" xfId="0" applyFont="1" applyFill="1" applyBorder="1"/>
    <xf numFmtId="0" fontId="9" fillId="4" borderId="18" xfId="0" applyFont="1" applyFill="1" applyBorder="1"/>
    <xf numFmtId="170" fontId="9" fillId="4" borderId="18" xfId="1" applyFont="1" applyFill="1" applyBorder="1"/>
    <xf numFmtId="0" fontId="10" fillId="4" borderId="18" xfId="0" applyFont="1" applyFill="1" applyBorder="1"/>
    <xf numFmtId="0" fontId="9" fillId="4" borderId="0" xfId="0" applyFont="1" applyFill="1" applyAlignment="1">
      <alignment horizontal="left" indent="1"/>
    </xf>
    <xf numFmtId="0" fontId="9" fillId="4" borderId="18" xfId="0" applyFont="1" applyFill="1" applyBorder="1" applyAlignment="1">
      <alignment horizontal="left" indent="1"/>
    </xf>
    <xf numFmtId="0" fontId="14" fillId="4" borderId="0" xfId="0" applyFont="1" applyFill="1"/>
    <xf numFmtId="0" fontId="22" fillId="0" borderId="0" xfId="10"/>
    <xf numFmtId="0" fontId="9" fillId="10" borderId="17" xfId="0" applyFont="1" applyFill="1" applyBorder="1"/>
    <xf numFmtId="15" fontId="9" fillId="10" borderId="0" xfId="0" applyNumberFormat="1" applyFont="1" applyFill="1"/>
    <xf numFmtId="0" fontId="9" fillId="10" borderId="18" xfId="0" applyFont="1" applyFill="1" applyBorder="1"/>
    <xf numFmtId="3" fontId="9" fillId="10" borderId="17" xfId="0" applyNumberFormat="1" applyFont="1" applyFill="1" applyBorder="1"/>
    <xf numFmtId="3" fontId="9" fillId="10" borderId="0" xfId="0" applyNumberFormat="1" applyFont="1" applyFill="1"/>
    <xf numFmtId="170" fontId="9" fillId="10" borderId="18" xfId="1" applyFont="1" applyFill="1" applyBorder="1"/>
    <xf numFmtId="3" fontId="9" fillId="10" borderId="18" xfId="0" applyNumberFormat="1" applyFont="1" applyFill="1" applyBorder="1"/>
    <xf numFmtId="3" fontId="21" fillId="10" borderId="17" xfId="0" applyNumberFormat="1" applyFont="1" applyFill="1" applyBorder="1"/>
    <xf numFmtId="0" fontId="21" fillId="10" borderId="0" xfId="0" applyFont="1" applyFill="1"/>
    <xf numFmtId="3" fontId="21" fillId="10" borderId="0" xfId="0" applyNumberFormat="1" applyFont="1" applyFill="1"/>
    <xf numFmtId="3" fontId="21" fillId="10" borderId="18" xfId="0" applyNumberFormat="1" applyFont="1" applyFill="1" applyBorder="1"/>
    <xf numFmtId="170" fontId="9" fillId="10" borderId="0" xfId="1" applyFont="1" applyFill="1" applyBorder="1"/>
    <xf numFmtId="170" fontId="9" fillId="4" borderId="0" xfId="1" applyFont="1" applyFill="1" applyBorder="1"/>
    <xf numFmtId="0" fontId="9" fillId="4" borderId="0" xfId="0" applyFont="1" applyFill="1" applyAlignment="1">
      <alignment horizontal="center"/>
    </xf>
    <xf numFmtId="0" fontId="9" fillId="4" borderId="0" xfId="0" applyFont="1" applyFill="1" applyAlignment="1">
      <alignment horizontal="right" vertical="top"/>
    </xf>
  </cellXfs>
  <cellStyles count="11">
    <cellStyle name="Assumption" xfId="3" xr:uid="{00000000-0005-0000-0000-000000000000}"/>
    <cellStyle name="Comma" xfId="1" builtinId="3" customBuiltin="1"/>
    <cellStyle name="Comma 2" xfId="8" xr:uid="{FC77B280-1F77-4DEA-B996-9F24932A7267}"/>
    <cellStyle name="Hyperlink" xfId="10" builtinId="8"/>
    <cellStyle name="Line_SubTotal" xfId="4" xr:uid="{00000000-0005-0000-0000-000002000000}"/>
    <cellStyle name="Normal" xfId="0" builtinId="0" customBuiltin="1"/>
    <cellStyle name="Normal 2" xfId="6" xr:uid="{0DD63D53-C74C-4926-A3BB-80DAD220A294}"/>
    <cellStyle name="Normal 3" xfId="7" xr:uid="{8267A3B9-EE86-4CE1-8C2F-A9F29F33D0FC}"/>
    <cellStyle name="Percent" xfId="2" builtinId="5" customBuiltin="1"/>
    <cellStyle name="Percent 2" xfId="9" xr:uid="{3C542CF3-22C8-434C-84B5-D3CB2636EFC6}"/>
    <cellStyle name="Table_Heading" xfId="5" xr:uid="{00000000-0005-0000-0000-000005000000}"/>
  </cellStyles>
  <dxfs count="1">
    <dxf>
      <border>
        <bottom style="thin">
          <color rgb="FF7030A0"/>
        </bottom>
        <vertical/>
        <horizontal/>
      </border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68580</xdr:colOff>
      <xdr:row>0</xdr:row>
      <xdr:rowOff>15243</xdr:rowOff>
    </xdr:from>
    <xdr:ext cx="3147063" cy="586743"/>
    <xdr:pic>
      <xdr:nvPicPr>
        <xdr:cNvPr id="2" name="Picture 1" descr="http://modeloff.com/wp-content/uploads/2012/07/Modeloff-logo-2-clearv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8580" y="15243"/>
          <a:ext cx="3147063" cy="58674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68580</xdr:colOff>
      <xdr:row>0</xdr:row>
      <xdr:rowOff>15243</xdr:rowOff>
    </xdr:from>
    <xdr:ext cx="3147063" cy="586743"/>
    <xdr:pic>
      <xdr:nvPicPr>
        <xdr:cNvPr id="2" name="Picture 1" descr="http://modeloff.com/wp-content/uploads/2012/07/Modeloff-logo-2-clearv2.png">
          <a:extLst>
            <a:ext uri="{FF2B5EF4-FFF2-40B4-BE49-F238E27FC236}">
              <a16:creationId xmlns:a16="http://schemas.microsoft.com/office/drawing/2014/main" id="{BED5A30C-1507-457B-A687-718488773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8580" y="15243"/>
          <a:ext cx="3147063" cy="58674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59a816b11701aeac/Documents/4_Excel/ArrayFFT.xlsx" TargetMode="External"/><Relationship Id="rId1" Type="http://schemas.openxmlformats.org/officeDocument/2006/relationships/externalLinkPath" Target="/59a816b11701aeac/Documents/4_Excel/ArrayFF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0e12e3b1fca6b2bc/Desktop/Excel/Videos/2023-02%203%20MO13%20R1%20S4/MO13%20Round%201%20-%20Sec%204%20-%20Energy%20-%20Live%20attempt.xlsx" TargetMode="External"/><Relationship Id="rId1" Type="http://schemas.openxmlformats.org/officeDocument/2006/relationships/externalLinkPath" Target="file:///C:\0e12e3b1fca6b2bc\Desktop\Excel\Videos\2023-02%203%20MO13%20R1%20S4\MO13%20Round%201%20-%20Sec%204%20-%20Energy%20-%20Live%20attem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nWorkSheetMemory"/>
      <sheetName val="FFTDemo"/>
      <sheetName val="Convolution"/>
      <sheetName val="FFTNotes"/>
      <sheetName val="e00eb4de3c8a421cba9b8f4cb8546ec"/>
    </sheetNames>
    <sheetDataSet>
      <sheetData sheetId="0"/>
      <sheetData sheetId="1">
        <row r="7">
          <cell r="C7">
            <v>16</v>
          </cell>
        </row>
        <row r="11">
          <cell r="B11">
            <v>1</v>
          </cell>
          <cell r="E11">
            <v>4</v>
          </cell>
          <cell r="H11">
            <v>0.25</v>
          </cell>
        </row>
      </sheetData>
      <sheetData sheetId="2"/>
      <sheetData sheetId="3">
        <row r="15">
          <cell r="C15">
            <v>8</v>
          </cell>
        </row>
        <row r="18">
          <cell r="B18">
            <v>0</v>
          </cell>
        </row>
      </sheetData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ad me"/>
      <sheetName val="Assumptions"/>
      <sheetName val="Model"/>
      <sheetName val="Q&amp;A"/>
    </sheetNames>
    <sheetDataSet>
      <sheetData sheetId="0"/>
      <sheetData sheetId="1"/>
      <sheetData sheetId="2">
        <row r="9">
          <cell r="C9" t="str">
            <v>Small</v>
          </cell>
        </row>
        <row r="10">
          <cell r="C10" t="str">
            <v>Large</v>
          </cell>
        </row>
      </sheetData>
      <sheetData sheetId="3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</v>
    <v>8</v>
    <v>1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762A7B5-0B99-49D6-9860-41EDC03CE32F}">
  <we:reference id="wa200003696" version="1.1.0.0" store="en-US" storeType="OMEX"/>
  <we:alternateReferences>
    <we:reference id="WA200003696" version="1.1.0.0" store="" storeType="OMEX"/>
  </we:alternateReferences>
  <we:properties>
    <we:property name="projectV0_1-56c6e055-265e-4713-816e-a646dbb708de" value="{&quot;kind&quot;:&quot;AFEJSONBlobNode&quot;,&quot;id&quot;:&quot;{CF595B99-88F8-4CFF-896C-C6DF7E473B26}&quot;}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linkedin.com/in/diarmuidearly/" TargetMode="External"/><Relationship Id="rId2" Type="http://schemas.openxmlformats.org/officeDocument/2006/relationships/hyperlink" Target="mailto:youtube.com/@DimEarly" TargetMode="External"/><Relationship Id="rId1" Type="http://schemas.openxmlformats.org/officeDocument/2006/relationships/hyperlink" Target="https://drive.google.com/drive/folders/1IsojxZw9K8ZbAHwduQiO6pihWFwJ09fu?usp=sharing" TargetMode="External"/><Relationship Id="rId4" Type="http://schemas.openxmlformats.org/officeDocument/2006/relationships/hyperlink" Target="https://youtu.be/raa74UUPPSY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youtube.com/watch?v=raa74UUPPSY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1EAAE-9119-4193-95CB-8C680AF4A37C}">
  <dimension ref="A1:A18"/>
  <sheetViews>
    <sheetView showGridLines="0" tabSelected="1" workbookViewId="0">
      <selection activeCell="A8" sqref="A8"/>
    </sheetView>
  </sheetViews>
  <sheetFormatPr defaultColWidth="9" defaultRowHeight="21" x14ac:dyDescent="0.35"/>
  <cols>
    <col min="1" max="16384" width="9" style="73"/>
  </cols>
  <sheetData>
    <row r="1" spans="1:1" s="72" customFormat="1" ht="26.25" x14ac:dyDescent="0.4">
      <c r="A1" s="71" t="s">
        <v>109</v>
      </c>
    </row>
    <row r="3" spans="1:1" x14ac:dyDescent="0.35">
      <c r="A3" s="73" t="s">
        <v>120</v>
      </c>
    </row>
    <row r="5" spans="1:1" x14ac:dyDescent="0.35">
      <c r="A5" s="73" t="s">
        <v>110</v>
      </c>
    </row>
    <row r="7" spans="1:1" x14ac:dyDescent="0.35">
      <c r="A7" s="73" t="s">
        <v>111</v>
      </c>
    </row>
    <row r="8" spans="1:1" x14ac:dyDescent="0.35">
      <c r="A8" s="74" t="s">
        <v>119</v>
      </c>
    </row>
    <row r="10" spans="1:1" x14ac:dyDescent="0.35">
      <c r="A10" s="73" t="s">
        <v>112</v>
      </c>
    </row>
    <row r="11" spans="1:1" x14ac:dyDescent="0.35">
      <c r="A11" s="74" t="s">
        <v>113</v>
      </c>
    </row>
    <row r="12" spans="1:1" x14ac:dyDescent="0.35">
      <c r="A12" s="73" t="s">
        <v>114</v>
      </c>
    </row>
    <row r="14" spans="1:1" x14ac:dyDescent="0.35">
      <c r="A14" s="73" t="s">
        <v>115</v>
      </c>
    </row>
    <row r="16" spans="1:1" x14ac:dyDescent="0.35">
      <c r="A16" s="73" t="s">
        <v>116</v>
      </c>
    </row>
    <row r="17" spans="1:1" x14ac:dyDescent="0.35">
      <c r="A17" s="74" t="s">
        <v>117</v>
      </c>
    </row>
    <row r="18" spans="1:1" x14ac:dyDescent="0.35">
      <c r="A18" s="74" t="s">
        <v>118</v>
      </c>
    </row>
  </sheetData>
  <hyperlinks>
    <hyperlink ref="A11" r:id="rId1" xr:uid="{5FFE18FD-5E94-42D4-A9C7-7212AD7805F7}"/>
    <hyperlink ref="A17" r:id="rId2" xr:uid="{687EBAB8-71E3-48B3-B45C-0DA6D176D65F}"/>
    <hyperlink ref="A18" r:id="rId3" display="www.linkedin.com/in/diarmuidearly/" xr:uid="{D51CB5D3-F504-4C04-B06A-B1194C2C7BC6}"/>
    <hyperlink ref="A8" r:id="rId4" xr:uid="{A85BF5D2-0B52-4952-918D-824006CE1E6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8"/>
  <sheetViews>
    <sheetView topLeftCell="A60" workbookViewId="0">
      <selection activeCell="H17" sqref="H17"/>
    </sheetView>
  </sheetViews>
  <sheetFormatPr defaultColWidth="8.85546875" defaultRowHeight="12.75" x14ac:dyDescent="0.2"/>
  <cols>
    <col min="1" max="1" width="3" style="5" customWidth="1"/>
    <col min="2" max="2" width="8.85546875" style="5" customWidth="1"/>
    <col min="3" max="3" width="17.7109375" style="5" customWidth="1"/>
    <col min="4" max="13" width="12.7109375" style="5" customWidth="1"/>
    <col min="14" max="14" width="10.7109375" style="5" bestFit="1" customWidth="1"/>
    <col min="15" max="16384" width="8.85546875" style="5"/>
  </cols>
  <sheetData>
    <row r="1" spans="1:25" s="1" customFormat="1" ht="54.6" customHeight="1" x14ac:dyDescent="0.2">
      <c r="H1" s="88"/>
    </row>
    <row r="2" spans="1:25" s="2" customFormat="1" x14ac:dyDescent="0.2">
      <c r="B2" s="3" t="s">
        <v>0</v>
      </c>
      <c r="F2" s="2" t="s">
        <v>125</v>
      </c>
    </row>
    <row r="3" spans="1:25" s="2" customFormat="1" x14ac:dyDescent="0.2">
      <c r="B3" s="4" t="s">
        <v>54</v>
      </c>
    </row>
    <row r="4" spans="1:25" s="2" customFormat="1" x14ac:dyDescent="0.2">
      <c r="B4" s="2" t="s">
        <v>1</v>
      </c>
    </row>
    <row r="5" spans="1:25" s="2" customFormat="1" x14ac:dyDescent="0.2">
      <c r="B5" s="2" t="s">
        <v>50</v>
      </c>
    </row>
    <row r="7" spans="1:25" s="49" customFormat="1" x14ac:dyDescent="0.2">
      <c r="A7" s="46"/>
      <c r="B7" s="47" t="s">
        <v>2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</row>
    <row r="8" spans="1:25" s="38" customFormat="1" x14ac:dyDescent="0.2">
      <c r="A8" s="37"/>
    </row>
    <row r="9" spans="1:25" s="38" customFormat="1" x14ac:dyDescent="0.2">
      <c r="A9" s="37"/>
      <c r="B9" s="39" t="s">
        <v>121</v>
      </c>
    </row>
    <row r="10" spans="1:25" s="38" customFormat="1" x14ac:dyDescent="0.2">
      <c r="A10" s="37"/>
    </row>
    <row r="11" spans="1:25" s="38" customFormat="1" x14ac:dyDescent="0.2">
      <c r="A11" s="37"/>
      <c r="B11" s="38" t="s">
        <v>122</v>
      </c>
      <c r="E11" s="26">
        <v>41548</v>
      </c>
    </row>
    <row r="12" spans="1:25" s="38" customFormat="1" x14ac:dyDescent="0.2">
      <c r="A12" s="37"/>
      <c r="B12" s="38" t="s">
        <v>123</v>
      </c>
      <c r="E12" s="57">
        <v>3</v>
      </c>
    </row>
    <row r="13" spans="1:25" s="38" customFormat="1" x14ac:dyDescent="0.2">
      <c r="A13" s="37"/>
    </row>
    <row r="14" spans="1:25" s="38" customFormat="1" x14ac:dyDescent="0.2">
      <c r="A14" s="37"/>
      <c r="B14" s="39" t="s">
        <v>3</v>
      </c>
    </row>
    <row r="15" spans="1:25" s="38" customFormat="1" x14ac:dyDescent="0.2">
      <c r="A15" s="37"/>
      <c r="B15" s="40"/>
      <c r="C15" s="41"/>
      <c r="D15" s="41"/>
      <c r="E15" s="42"/>
      <c r="F15" s="42"/>
      <c r="G15" s="42"/>
      <c r="H15" s="42"/>
      <c r="I15" s="41"/>
      <c r="J15" s="41"/>
      <c r="K15" s="41"/>
      <c r="L15" s="41"/>
    </row>
    <row r="16" spans="1:25" x14ac:dyDescent="0.2">
      <c r="B16" s="9"/>
      <c r="D16" s="10"/>
      <c r="E16" s="11">
        <v>1</v>
      </c>
      <c r="F16" s="11">
        <f>E16+1</f>
        <v>2</v>
      </c>
      <c r="G16" s="11">
        <f>F16+1</f>
        <v>3</v>
      </c>
      <c r="H16" s="11">
        <f>G16+1</f>
        <v>4</v>
      </c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</row>
    <row r="17" spans="2:25" x14ac:dyDescent="0.2">
      <c r="E17" s="12">
        <v>0.2</v>
      </c>
      <c r="F17" s="12">
        <v>0.15</v>
      </c>
      <c r="G17" s="12">
        <v>0.3</v>
      </c>
      <c r="H17" s="13">
        <f>1-SUM(_xlfn.DROP(quarterlySeasonality,,-1))</f>
        <v>0.35000000000000009</v>
      </c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</row>
    <row r="18" spans="2:25" x14ac:dyDescent="0.2">
      <c r="E18" s="5" t="s">
        <v>46</v>
      </c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</row>
    <row r="19" spans="2:25" s="37" customFormat="1" x14ac:dyDescent="0.2">
      <c r="B19" s="43" t="s">
        <v>4</v>
      </c>
      <c r="E19" s="38"/>
      <c r="F19" s="38"/>
      <c r="G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</row>
    <row r="20" spans="2:25" s="37" customFormat="1" x14ac:dyDescent="0.2">
      <c r="B20" s="44"/>
      <c r="C20" s="45"/>
      <c r="D20" s="45"/>
      <c r="E20" s="41"/>
      <c r="F20" s="41"/>
      <c r="G20" s="41"/>
      <c r="H20" s="45"/>
      <c r="I20" s="45"/>
      <c r="J20" s="45"/>
      <c r="K20" s="45"/>
      <c r="L20" s="45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</row>
    <row r="21" spans="2:25" x14ac:dyDescent="0.2">
      <c r="E21" s="17">
        <v>2013</v>
      </c>
      <c r="F21" s="17">
        <f>E21+1</f>
        <v>2014</v>
      </c>
      <c r="G21" s="17">
        <f>F21+1</f>
        <v>2015</v>
      </c>
      <c r="H21" s="17">
        <f>G21+1</f>
        <v>2016</v>
      </c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</row>
    <row r="22" spans="2:25" x14ac:dyDescent="0.2">
      <c r="B22" s="5" t="s">
        <v>5</v>
      </c>
      <c r="E22" s="57">
        <v>175000</v>
      </c>
      <c r="F22" s="58" cm="1">
        <f t="array" ref="F22:H22" xml:space="preserve"> _xlfn.DROP( _xlfn.SCAN(baseUnitsSold, 1+salesGrowth, Multiplyλ), , 1)</f>
        <v>182000</v>
      </c>
      <c r="G22" s="58">
        <v>203840.00000000003</v>
      </c>
      <c r="H22" s="59">
        <v>228300.80000000005</v>
      </c>
      <c r="L22" s="22"/>
      <c r="M22" s="22"/>
      <c r="N22" s="7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</row>
    <row r="23" spans="2:25" x14ac:dyDescent="0.2">
      <c r="B23" s="5" t="s">
        <v>6</v>
      </c>
      <c r="E23" s="18"/>
      <c r="F23" s="19">
        <v>0.04</v>
      </c>
      <c r="G23" s="19">
        <v>0.12</v>
      </c>
      <c r="H23" s="20">
        <v>0.12</v>
      </c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</row>
    <row r="24" spans="2:25" x14ac:dyDescent="0.2">
      <c r="E24" s="5" t="s">
        <v>51</v>
      </c>
    </row>
    <row r="25" spans="2:25" x14ac:dyDescent="0.2">
      <c r="B25" s="14" t="s">
        <v>7</v>
      </c>
    </row>
    <row r="26" spans="2:25" x14ac:dyDescent="0.2">
      <c r="B26" s="15"/>
      <c r="C26" s="16"/>
      <c r="D26" s="16"/>
      <c r="E26" s="16"/>
      <c r="F26" s="16"/>
      <c r="G26" s="16"/>
      <c r="H26" s="16"/>
      <c r="I26" s="16"/>
      <c r="J26" s="16"/>
      <c r="K26" s="16"/>
      <c r="L26" s="16"/>
    </row>
    <row r="27" spans="2:25" x14ac:dyDescent="0.2">
      <c r="E27" s="21">
        <v>41547</v>
      </c>
    </row>
    <row r="28" spans="2:25" x14ac:dyDescent="0.2">
      <c r="B28" s="5" t="s">
        <v>49</v>
      </c>
      <c r="E28" s="51">
        <v>29.99</v>
      </c>
      <c r="I28" s="22"/>
      <c r="J28" s="22"/>
      <c r="K28" s="22"/>
      <c r="L28" s="22"/>
    </row>
    <row r="29" spans="2:25" x14ac:dyDescent="0.2">
      <c r="B29" s="5" t="s">
        <v>8</v>
      </c>
      <c r="E29" s="23">
        <v>0.25</v>
      </c>
    </row>
    <row r="30" spans="2:25" x14ac:dyDescent="0.2">
      <c r="B30" s="5" t="s">
        <v>59</v>
      </c>
      <c r="E30" s="61">
        <f>unitSalesPrice*(1-contibutionMargin)</f>
        <v>22.4925</v>
      </c>
    </row>
    <row r="32" spans="2:25" x14ac:dyDescent="0.2">
      <c r="B32" s="14" t="s">
        <v>9</v>
      </c>
    </row>
    <row r="33" spans="2:12" x14ac:dyDescent="0.2">
      <c r="B33" s="15"/>
      <c r="C33" s="16"/>
      <c r="D33" s="16"/>
      <c r="E33" s="24"/>
      <c r="F33" s="24"/>
      <c r="G33" s="24"/>
      <c r="H33" s="24"/>
      <c r="I33" s="16"/>
      <c r="J33" s="16"/>
      <c r="K33" s="16"/>
      <c r="L33" s="16"/>
    </row>
    <row r="34" spans="2:12" x14ac:dyDescent="0.2">
      <c r="B34" s="9"/>
      <c r="E34" s="25">
        <v>2013</v>
      </c>
      <c r="F34" s="25">
        <f>E34+1</f>
        <v>2014</v>
      </c>
      <c r="G34" s="25">
        <f>F34+1</f>
        <v>2015</v>
      </c>
      <c r="H34" s="25">
        <f>G34+1</f>
        <v>2016</v>
      </c>
    </row>
    <row r="35" spans="2:12" x14ac:dyDescent="0.2">
      <c r="B35" s="5" t="s">
        <v>9</v>
      </c>
      <c r="E35" s="50">
        <v>1200000</v>
      </c>
      <c r="F35" s="58" cm="1">
        <f t="array" ref="F35:H35" xml:space="preserve"> _xlfn.DROP( _xlfn.SCAN(baseIndirectCosts, 1 + indirectCostGrowth, Multiplyλ), , 1)</f>
        <v>1248000</v>
      </c>
      <c r="G35" s="58">
        <v>1297920</v>
      </c>
      <c r="H35" s="59">
        <v>1349836.8</v>
      </c>
    </row>
    <row r="36" spans="2:12" x14ac:dyDescent="0.2">
      <c r="B36" s="5" t="s">
        <v>10</v>
      </c>
      <c r="E36" s="18"/>
      <c r="F36" s="19">
        <v>0.04</v>
      </c>
      <c r="G36" s="19">
        <v>0.04</v>
      </c>
      <c r="H36" s="20">
        <v>0.04</v>
      </c>
    </row>
    <row r="37" spans="2:12" x14ac:dyDescent="0.2">
      <c r="E37" s="5" t="s">
        <v>11</v>
      </c>
    </row>
    <row r="38" spans="2:12" x14ac:dyDescent="0.2">
      <c r="B38" s="14" t="s">
        <v>12</v>
      </c>
    </row>
    <row r="39" spans="2:12" x14ac:dyDescent="0.2">
      <c r="B39" s="15"/>
      <c r="C39" s="16"/>
      <c r="D39" s="16"/>
      <c r="E39" s="24"/>
      <c r="F39" s="24"/>
      <c r="G39" s="16"/>
      <c r="H39" s="16"/>
      <c r="I39" s="16"/>
      <c r="J39" s="16"/>
      <c r="K39" s="16"/>
      <c r="L39" s="16"/>
    </row>
    <row r="40" spans="2:12" x14ac:dyDescent="0.2">
      <c r="B40" s="9"/>
      <c r="E40" s="11" t="s">
        <v>13</v>
      </c>
      <c r="F40" s="11" t="s">
        <v>14</v>
      </c>
    </row>
    <row r="41" spans="2:12" x14ac:dyDescent="0.2">
      <c r="E41" s="26">
        <v>41639</v>
      </c>
      <c r="F41" s="52">
        <v>50000</v>
      </c>
    </row>
    <row r="42" spans="2:12" x14ac:dyDescent="0.2">
      <c r="E42" s="26">
        <v>41698</v>
      </c>
      <c r="F42" s="52">
        <v>50000</v>
      </c>
    </row>
    <row r="43" spans="2:12" x14ac:dyDescent="0.2">
      <c r="E43" s="26">
        <v>41759</v>
      </c>
      <c r="F43" s="52">
        <v>60000</v>
      </c>
    </row>
    <row r="44" spans="2:12" x14ac:dyDescent="0.2">
      <c r="E44" s="26">
        <v>41820</v>
      </c>
      <c r="F44" s="52">
        <v>60000</v>
      </c>
    </row>
    <row r="45" spans="2:12" x14ac:dyDescent="0.2">
      <c r="E45" s="26">
        <v>41882</v>
      </c>
      <c r="F45" s="52">
        <v>60000</v>
      </c>
    </row>
    <row r="46" spans="2:12" x14ac:dyDescent="0.2">
      <c r="E46" s="26">
        <v>41912</v>
      </c>
      <c r="F46" s="52">
        <v>90000</v>
      </c>
    </row>
    <row r="47" spans="2:12" x14ac:dyDescent="0.2">
      <c r="E47" s="26">
        <v>41973</v>
      </c>
      <c r="F47" s="52">
        <v>60000</v>
      </c>
    </row>
    <row r="48" spans="2:12" x14ac:dyDescent="0.2">
      <c r="E48" s="26">
        <v>42004</v>
      </c>
      <c r="F48" s="52">
        <v>150000</v>
      </c>
    </row>
    <row r="49" spans="2:12" x14ac:dyDescent="0.2">
      <c r="E49" s="26">
        <v>42094</v>
      </c>
      <c r="F49" s="52">
        <v>60000</v>
      </c>
    </row>
    <row r="50" spans="2:12" x14ac:dyDescent="0.2">
      <c r="E50" s="26">
        <v>42185</v>
      </c>
      <c r="F50" s="52">
        <v>150000</v>
      </c>
    </row>
    <row r="51" spans="2:12" x14ac:dyDescent="0.2">
      <c r="E51" s="26">
        <v>42277</v>
      </c>
      <c r="F51" s="52">
        <v>60000</v>
      </c>
    </row>
    <row r="52" spans="2:12" x14ac:dyDescent="0.2">
      <c r="E52" s="26">
        <v>42369</v>
      </c>
      <c r="F52" s="52">
        <v>150000</v>
      </c>
    </row>
    <row r="54" spans="2:12" x14ac:dyDescent="0.2">
      <c r="B54" s="27" t="s">
        <v>15</v>
      </c>
      <c r="C54" s="28"/>
      <c r="D54" s="28"/>
      <c r="E54" s="28"/>
      <c r="F54" s="28"/>
      <c r="G54" s="28"/>
      <c r="H54" s="28"/>
      <c r="I54" s="28"/>
      <c r="J54" s="28"/>
      <c r="K54" s="28"/>
      <c r="L54" s="28"/>
    </row>
    <row r="56" spans="2:12" x14ac:dyDescent="0.2">
      <c r="E56" s="25" t="s">
        <v>16</v>
      </c>
      <c r="F56" s="25" t="s">
        <v>17</v>
      </c>
      <c r="G56" s="25" t="s">
        <v>18</v>
      </c>
      <c r="H56" s="25" t="s">
        <v>19</v>
      </c>
    </row>
    <row r="57" spans="2:12" x14ac:dyDescent="0.2">
      <c r="B57" s="5" t="s">
        <v>20</v>
      </c>
      <c r="E57" s="53">
        <v>0</v>
      </c>
      <c r="F57" s="23">
        <v>0.6</v>
      </c>
      <c r="G57" s="23">
        <v>0.25</v>
      </c>
      <c r="H57" s="29">
        <f>1-SUM(_xlfn.DROP(cashReceiptTiming,,-1))</f>
        <v>0.15000000000000002</v>
      </c>
    </row>
    <row r="58" spans="2:12" x14ac:dyDescent="0.2">
      <c r="B58" s="9"/>
    </row>
    <row r="59" spans="2:12" x14ac:dyDescent="0.2">
      <c r="E59" s="30">
        <v>41578</v>
      </c>
      <c r="F59" s="30">
        <v>41608</v>
      </c>
      <c r="G59" s="30">
        <v>41639</v>
      </c>
    </row>
    <row r="60" spans="2:12" x14ac:dyDescent="0.2">
      <c r="B60" s="5" t="s">
        <v>21</v>
      </c>
      <c r="E60" s="23">
        <v>0.3</v>
      </c>
      <c r="F60" s="23">
        <v>0.6</v>
      </c>
      <c r="G60" s="29">
        <f>1-SUM(_xlfn.DROP(openingCashReceiptTiming,,-1))</f>
        <v>0.10000000000000009</v>
      </c>
    </row>
    <row r="61" spans="2:12" x14ac:dyDescent="0.2">
      <c r="B61" s="9"/>
    </row>
    <row r="62" spans="2:12" x14ac:dyDescent="0.2">
      <c r="B62" s="27" t="s">
        <v>22</v>
      </c>
      <c r="C62" s="28"/>
      <c r="D62" s="28"/>
      <c r="E62" s="28"/>
      <c r="F62" s="28"/>
      <c r="G62" s="28"/>
      <c r="H62" s="28"/>
      <c r="I62" s="28"/>
      <c r="J62" s="28"/>
      <c r="K62" s="28"/>
      <c r="L62" s="28"/>
    </row>
    <row r="63" spans="2:12" x14ac:dyDescent="0.2">
      <c r="B63" s="31"/>
      <c r="C63" s="16"/>
      <c r="D63" s="16"/>
      <c r="H63" s="16"/>
      <c r="I63" s="16"/>
      <c r="J63" s="16"/>
      <c r="K63" s="16"/>
      <c r="L63" s="16"/>
    </row>
    <row r="64" spans="2:12" x14ac:dyDescent="0.2">
      <c r="B64" s="9"/>
      <c r="E64" s="25" t="s">
        <v>23</v>
      </c>
      <c r="F64" s="25" t="s">
        <v>17</v>
      </c>
      <c r="G64" s="25" t="s">
        <v>18</v>
      </c>
      <c r="H64" s="25" t="s">
        <v>19</v>
      </c>
    </row>
    <row r="65" spans="2:12" x14ac:dyDescent="0.2">
      <c r="B65" s="5" t="s">
        <v>24</v>
      </c>
      <c r="E65" s="53">
        <v>0</v>
      </c>
      <c r="F65" s="23">
        <v>0.85</v>
      </c>
      <c r="G65" s="23">
        <v>0.1</v>
      </c>
      <c r="H65" s="29">
        <f>1-SUM(_xlfn.DROP(cashPaymentTiming,,-1))</f>
        <v>5.0000000000000044E-2</v>
      </c>
    </row>
    <row r="67" spans="2:12" x14ac:dyDescent="0.2">
      <c r="E67" s="30">
        <v>41578</v>
      </c>
      <c r="F67" s="30">
        <v>41608</v>
      </c>
      <c r="G67" s="30">
        <v>41639</v>
      </c>
    </row>
    <row r="68" spans="2:12" x14ac:dyDescent="0.2">
      <c r="B68" s="5" t="s">
        <v>25</v>
      </c>
      <c r="E68" s="23">
        <v>0.3</v>
      </c>
      <c r="F68" s="23">
        <v>0.6</v>
      </c>
      <c r="G68" s="29">
        <f>1-SUM(_xlfn.DROP(openingCashPaymentTiming,,-1))</f>
        <v>0.10000000000000009</v>
      </c>
    </row>
    <row r="69" spans="2:12" x14ac:dyDescent="0.2">
      <c r="G69" s="32"/>
    </row>
    <row r="70" spans="2:12" x14ac:dyDescent="0.2">
      <c r="B70" s="5" t="s">
        <v>26</v>
      </c>
    </row>
    <row r="72" spans="2:12" x14ac:dyDescent="0.2">
      <c r="B72" s="14" t="s">
        <v>27</v>
      </c>
    </row>
    <row r="73" spans="2:12" x14ac:dyDescent="0.2">
      <c r="B73" s="31"/>
      <c r="C73" s="16"/>
      <c r="D73" s="16"/>
      <c r="E73" s="16"/>
      <c r="F73" s="16"/>
      <c r="G73" s="16"/>
      <c r="H73" s="16"/>
      <c r="I73" s="16"/>
      <c r="J73" s="16"/>
      <c r="K73" s="16"/>
      <c r="L73" s="16"/>
    </row>
    <row r="74" spans="2:12" x14ac:dyDescent="0.2">
      <c r="B74" s="14" t="s">
        <v>28</v>
      </c>
      <c r="C74" s="10"/>
      <c r="D74" s="33" t="s">
        <v>29</v>
      </c>
    </row>
    <row r="75" spans="2:12" x14ac:dyDescent="0.2">
      <c r="B75" s="5" t="s">
        <v>30</v>
      </c>
      <c r="C75" s="10"/>
      <c r="D75" s="54">
        <v>18000</v>
      </c>
    </row>
    <row r="76" spans="2:12" x14ac:dyDescent="0.2">
      <c r="B76" s="5" t="s">
        <v>31</v>
      </c>
      <c r="C76" s="10"/>
      <c r="D76" s="54">
        <v>600000</v>
      </c>
    </row>
    <row r="77" spans="2:12" x14ac:dyDescent="0.2">
      <c r="B77" s="5" t="s">
        <v>32</v>
      </c>
      <c r="C77" s="10"/>
      <c r="D77" s="55">
        <v>500000</v>
      </c>
    </row>
    <row r="78" spans="2:12" ht="13.5" thickBot="1" x14ac:dyDescent="0.25">
      <c r="B78" s="5" t="s">
        <v>52</v>
      </c>
      <c r="C78" s="10"/>
      <c r="D78" s="56">
        <f>SUM(openingCash,openingAccReceivable,PPE)</f>
        <v>1118000</v>
      </c>
    </row>
    <row r="79" spans="2:12" ht="13.5" thickTop="1" x14ac:dyDescent="0.2"/>
    <row r="80" spans="2:12" x14ac:dyDescent="0.2">
      <c r="B80" s="14" t="s">
        <v>33</v>
      </c>
      <c r="C80" s="10"/>
      <c r="D80" s="33" t="s">
        <v>29</v>
      </c>
      <c r="E80" s="33" t="s">
        <v>34</v>
      </c>
    </row>
    <row r="81" spans="2:12" x14ac:dyDescent="0.2">
      <c r="B81" s="5" t="s">
        <v>35</v>
      </c>
      <c r="C81" s="10"/>
      <c r="D81" s="54">
        <v>350000</v>
      </c>
    </row>
    <row r="82" spans="2:12" x14ac:dyDescent="0.2">
      <c r="B82" s="5" t="s">
        <v>36</v>
      </c>
      <c r="C82" s="10"/>
      <c r="D82" s="54">
        <v>2000000</v>
      </c>
      <c r="E82" s="34">
        <v>7.0000000000000007E-2</v>
      </c>
      <c r="F82" s="35" t="s">
        <v>48</v>
      </c>
    </row>
    <row r="83" spans="2:12" ht="13.5" thickBot="1" x14ac:dyDescent="0.25">
      <c r="B83" s="5" t="s">
        <v>53</v>
      </c>
      <c r="C83" s="10"/>
      <c r="D83" s="56">
        <f>SUM(openingAccountsPayable, debtFacilityA)</f>
        <v>2350000</v>
      </c>
    </row>
    <row r="84" spans="2:12" ht="13.5" thickTop="1" x14ac:dyDescent="0.2"/>
    <row r="85" spans="2:12" x14ac:dyDescent="0.2">
      <c r="B85" s="27" t="s">
        <v>37</v>
      </c>
      <c r="C85" s="28"/>
      <c r="D85" s="28"/>
      <c r="E85" s="28"/>
      <c r="F85" s="28"/>
      <c r="G85" s="28"/>
      <c r="H85" s="28"/>
      <c r="I85" s="28"/>
      <c r="J85" s="28"/>
      <c r="K85" s="28"/>
      <c r="L85" s="28"/>
    </row>
    <row r="87" spans="2:12" x14ac:dyDescent="0.2">
      <c r="B87" s="5" t="s">
        <v>38</v>
      </c>
      <c r="D87" s="54">
        <v>10000</v>
      </c>
      <c r="E87" s="5" t="s">
        <v>39</v>
      </c>
    </row>
    <row r="88" spans="2:12" x14ac:dyDescent="0.2">
      <c r="D88" s="5" t="s">
        <v>47</v>
      </c>
    </row>
    <row r="90" spans="2:12" x14ac:dyDescent="0.2">
      <c r="B90" s="27" t="s">
        <v>40</v>
      </c>
      <c r="C90" s="28"/>
      <c r="D90" s="28"/>
      <c r="E90" s="28"/>
      <c r="F90" s="28"/>
      <c r="G90" s="28"/>
      <c r="H90" s="28"/>
      <c r="I90" s="28"/>
      <c r="J90" s="28"/>
      <c r="K90" s="28"/>
      <c r="L90" s="28"/>
    </row>
    <row r="92" spans="2:12" x14ac:dyDescent="0.2">
      <c r="B92" s="5" t="s">
        <v>41</v>
      </c>
    </row>
    <row r="94" spans="2:12" x14ac:dyDescent="0.2">
      <c r="B94" s="27" t="s">
        <v>97</v>
      </c>
      <c r="C94" s="28"/>
      <c r="D94" s="28"/>
      <c r="E94" s="28"/>
      <c r="F94" s="28"/>
      <c r="G94" s="28"/>
      <c r="H94" s="28"/>
      <c r="I94" s="28"/>
      <c r="J94" s="28"/>
      <c r="K94" s="28"/>
      <c r="L94" s="28"/>
    </row>
    <row r="96" spans="2:12" x14ac:dyDescent="0.2">
      <c r="B96" s="5" t="s">
        <v>98</v>
      </c>
      <c r="D96" s="65">
        <v>41640</v>
      </c>
    </row>
    <row r="97" spans="2:4" x14ac:dyDescent="0.2">
      <c r="B97" s="5" t="s">
        <v>99</v>
      </c>
      <c r="D97" s="66">
        <v>0.12</v>
      </c>
    </row>
    <row r="98" spans="2:4" x14ac:dyDescent="0.2">
      <c r="B98" s="5" t="s">
        <v>100</v>
      </c>
      <c r="D98" s="66">
        <v>-0.05</v>
      </c>
    </row>
  </sheetData>
  <hyperlinks>
    <hyperlink ref="F2" r:id="rId1" display="https://www.youtube.com/watch?v=raa74UUPPSY" xr:uid="{59358A9B-519C-450B-B087-56389198C50F}"/>
  </hyperlinks>
  <pageMargins left="0.70000000000000007" right="0.70000000000000007" top="0.75" bottom="0.75" header="0.30000000000000004" footer="0.30000000000000004"/>
  <pageSetup paperSize="9" fitToWidth="0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3D015-4D57-4257-969E-8A24FB6DFA48}">
  <dimension ref="A1:BA66"/>
  <sheetViews>
    <sheetView workbookViewId="0">
      <pane xSplit="5" ySplit="10" topLeftCell="F11" activePane="bottomRight" state="frozen"/>
      <selection pane="topRight" activeCell="G1" sqref="G1"/>
      <selection pane="bottomLeft" activeCell="A11" sqref="A11"/>
      <selection pane="bottomRight" activeCell="F6" sqref="F6"/>
    </sheetView>
  </sheetViews>
  <sheetFormatPr defaultColWidth="8.85546875" defaultRowHeight="12.75" x14ac:dyDescent="0.2"/>
  <cols>
    <col min="1" max="1" width="3" style="5" customWidth="1"/>
    <col min="2" max="2" width="8.85546875" style="5" customWidth="1"/>
    <col min="3" max="3" width="17.7109375" style="5" customWidth="1"/>
    <col min="4" max="41" width="12.7109375" style="5" customWidth="1"/>
    <col min="42" max="44" width="11.42578125" style="5" bestFit="1" customWidth="1"/>
    <col min="45" max="68" width="9" style="5" bestFit="1" customWidth="1"/>
    <col min="69" max="16384" width="8.85546875" style="5"/>
  </cols>
  <sheetData>
    <row r="1" spans="1:53" s="1" customFormat="1" ht="54.6" customHeight="1" x14ac:dyDescent="0.2">
      <c r="E1" s="103" t="s">
        <v>124</v>
      </c>
    </row>
    <row r="2" spans="1:53" s="2" customFormat="1" x14ac:dyDescent="0.2">
      <c r="B2" s="3" t="s">
        <v>0</v>
      </c>
    </row>
    <row r="4" spans="1:53" s="8" customFormat="1" x14ac:dyDescent="0.2">
      <c r="A4" s="5"/>
      <c r="B4" s="6" t="s">
        <v>42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</row>
    <row r="5" spans="1:53" x14ac:dyDescent="0.2">
      <c r="E5" s="38"/>
      <c r="F5" s="38"/>
    </row>
    <row r="6" spans="1:53" x14ac:dyDescent="0.2">
      <c r="B6" s="81" t="s">
        <v>43</v>
      </c>
      <c r="C6" s="81"/>
      <c r="D6" s="81"/>
      <c r="E6" s="89"/>
      <c r="F6" s="89" cm="1">
        <f t="array" ref="F6:AO10" xml:space="preserve"> TimingBlockλ(modelStart, modelDuration)</f>
        <v>1</v>
      </c>
      <c r="G6" s="81">
        <v>2</v>
      </c>
      <c r="H6" s="81">
        <v>3</v>
      </c>
      <c r="I6" s="81">
        <v>4</v>
      </c>
      <c r="J6" s="81">
        <v>5</v>
      </c>
      <c r="K6" s="81">
        <v>6</v>
      </c>
      <c r="L6" s="81">
        <v>7</v>
      </c>
      <c r="M6" s="81">
        <v>8</v>
      </c>
      <c r="N6" s="81">
        <v>9</v>
      </c>
      <c r="O6" s="81">
        <v>10</v>
      </c>
      <c r="P6" s="81">
        <v>11</v>
      </c>
      <c r="Q6" s="81">
        <v>12</v>
      </c>
      <c r="R6" s="81">
        <v>13</v>
      </c>
      <c r="S6" s="81">
        <v>14</v>
      </c>
      <c r="T6" s="81">
        <v>15</v>
      </c>
      <c r="U6" s="81">
        <v>16</v>
      </c>
      <c r="V6" s="81">
        <v>17</v>
      </c>
      <c r="W6" s="81">
        <v>18</v>
      </c>
      <c r="X6" s="81">
        <v>19</v>
      </c>
      <c r="Y6" s="81">
        <v>20</v>
      </c>
      <c r="Z6" s="81">
        <v>21</v>
      </c>
      <c r="AA6" s="81">
        <v>22</v>
      </c>
      <c r="AB6" s="81">
        <v>23</v>
      </c>
      <c r="AC6" s="81">
        <v>24</v>
      </c>
      <c r="AD6" s="81">
        <v>25</v>
      </c>
      <c r="AE6" s="81">
        <v>26</v>
      </c>
      <c r="AF6" s="81">
        <v>27</v>
      </c>
      <c r="AG6" s="81">
        <v>28</v>
      </c>
      <c r="AH6" s="81">
        <v>29</v>
      </c>
      <c r="AI6" s="81">
        <v>30</v>
      </c>
      <c r="AJ6" s="81">
        <v>31</v>
      </c>
      <c r="AK6" s="81">
        <v>32</v>
      </c>
      <c r="AL6" s="81">
        <v>33</v>
      </c>
      <c r="AM6" s="81">
        <v>34</v>
      </c>
      <c r="AN6" s="81">
        <v>35</v>
      </c>
      <c r="AO6" s="81">
        <v>36</v>
      </c>
    </row>
    <row r="7" spans="1:53" ht="15" x14ac:dyDescent="0.25">
      <c r="B7" s="87" t="s">
        <v>44</v>
      </c>
      <c r="E7" s="38"/>
      <c r="F7" s="90">
        <v>41548</v>
      </c>
      <c r="G7" s="36">
        <v>41579</v>
      </c>
      <c r="H7" s="36">
        <v>41609</v>
      </c>
      <c r="I7" s="36">
        <v>41640</v>
      </c>
      <c r="J7" s="36">
        <v>41671</v>
      </c>
      <c r="K7" s="36">
        <v>41699</v>
      </c>
      <c r="L7" s="36">
        <v>41730</v>
      </c>
      <c r="M7" s="36">
        <v>41760</v>
      </c>
      <c r="N7" s="36">
        <v>41791</v>
      </c>
      <c r="O7" s="36">
        <v>41821</v>
      </c>
      <c r="P7" s="36">
        <v>41852</v>
      </c>
      <c r="Q7" s="36">
        <v>41883</v>
      </c>
      <c r="R7" s="36">
        <v>41913</v>
      </c>
      <c r="S7" s="36">
        <v>41944</v>
      </c>
      <c r="T7" s="36">
        <v>41974</v>
      </c>
      <c r="U7" s="36">
        <v>42005</v>
      </c>
      <c r="V7" s="36">
        <v>42036</v>
      </c>
      <c r="W7" s="36">
        <v>42064</v>
      </c>
      <c r="X7" s="36">
        <v>42095</v>
      </c>
      <c r="Y7" s="36">
        <v>42125</v>
      </c>
      <c r="Z7" s="36">
        <v>42156</v>
      </c>
      <c r="AA7" s="36">
        <v>42186</v>
      </c>
      <c r="AB7" s="36">
        <v>42217</v>
      </c>
      <c r="AC7" s="36">
        <v>42248</v>
      </c>
      <c r="AD7" s="36">
        <v>42278</v>
      </c>
      <c r="AE7" s="36">
        <v>42309</v>
      </c>
      <c r="AF7" s="36">
        <v>42339</v>
      </c>
      <c r="AG7" s="36">
        <v>42370</v>
      </c>
      <c r="AH7" s="36">
        <v>42401</v>
      </c>
      <c r="AI7" s="36">
        <v>42430</v>
      </c>
      <c r="AJ7" s="36">
        <v>42461</v>
      </c>
      <c r="AK7" s="36">
        <v>42491</v>
      </c>
      <c r="AL7" s="36">
        <v>42522</v>
      </c>
      <c r="AM7" s="36">
        <v>42552</v>
      </c>
      <c r="AN7" s="36">
        <v>42583</v>
      </c>
      <c r="AO7" s="36">
        <v>42614</v>
      </c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</row>
    <row r="8" spans="1:53" x14ac:dyDescent="0.2">
      <c r="B8" s="5" t="s">
        <v>45</v>
      </c>
      <c r="E8" s="38"/>
      <c r="F8" s="90">
        <v>41578</v>
      </c>
      <c r="G8" s="36">
        <v>41608</v>
      </c>
      <c r="H8" s="36">
        <v>41639</v>
      </c>
      <c r="I8" s="36">
        <v>41670</v>
      </c>
      <c r="J8" s="36">
        <v>41698</v>
      </c>
      <c r="K8" s="36">
        <v>41729</v>
      </c>
      <c r="L8" s="36">
        <v>41759</v>
      </c>
      <c r="M8" s="36">
        <v>41790</v>
      </c>
      <c r="N8" s="36">
        <v>41820</v>
      </c>
      <c r="O8" s="36">
        <v>41851</v>
      </c>
      <c r="P8" s="36">
        <v>41882</v>
      </c>
      <c r="Q8" s="36">
        <v>41912</v>
      </c>
      <c r="R8" s="36">
        <v>41943</v>
      </c>
      <c r="S8" s="36">
        <v>41973</v>
      </c>
      <c r="T8" s="36">
        <v>42004</v>
      </c>
      <c r="U8" s="36">
        <v>42035</v>
      </c>
      <c r="V8" s="36">
        <v>42063</v>
      </c>
      <c r="W8" s="36">
        <v>42094</v>
      </c>
      <c r="X8" s="36">
        <v>42124</v>
      </c>
      <c r="Y8" s="36">
        <v>42155</v>
      </c>
      <c r="Z8" s="36">
        <v>42185</v>
      </c>
      <c r="AA8" s="36">
        <v>42216</v>
      </c>
      <c r="AB8" s="36">
        <v>42247</v>
      </c>
      <c r="AC8" s="36">
        <v>42277</v>
      </c>
      <c r="AD8" s="36">
        <v>42308</v>
      </c>
      <c r="AE8" s="36">
        <v>42338</v>
      </c>
      <c r="AF8" s="36">
        <v>42369</v>
      </c>
      <c r="AG8" s="36">
        <v>42400</v>
      </c>
      <c r="AH8" s="36">
        <v>42429</v>
      </c>
      <c r="AI8" s="36">
        <v>42460</v>
      </c>
      <c r="AJ8" s="36">
        <v>42490</v>
      </c>
      <c r="AK8" s="36">
        <v>42521</v>
      </c>
      <c r="AL8" s="36">
        <v>42551</v>
      </c>
      <c r="AM8" s="36">
        <v>42582</v>
      </c>
      <c r="AN8" s="36">
        <v>42613</v>
      </c>
      <c r="AO8" s="36">
        <v>42643</v>
      </c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</row>
    <row r="9" spans="1:53" x14ac:dyDescent="0.2">
      <c r="B9" s="5" t="s">
        <v>55</v>
      </c>
      <c r="E9" s="38"/>
      <c r="F9" s="38">
        <v>2013</v>
      </c>
      <c r="G9" s="5">
        <v>2013</v>
      </c>
      <c r="H9" s="5">
        <v>2013</v>
      </c>
      <c r="I9" s="5">
        <v>2014</v>
      </c>
      <c r="J9" s="5">
        <v>2014</v>
      </c>
      <c r="K9" s="5">
        <v>2014</v>
      </c>
      <c r="L9" s="5">
        <v>2014</v>
      </c>
      <c r="M9" s="5">
        <v>2014</v>
      </c>
      <c r="N9" s="5">
        <v>2014</v>
      </c>
      <c r="O9" s="5">
        <v>2014</v>
      </c>
      <c r="P9" s="5">
        <v>2014</v>
      </c>
      <c r="Q9" s="5">
        <v>2014</v>
      </c>
      <c r="R9" s="5">
        <v>2014</v>
      </c>
      <c r="S9" s="5">
        <v>2014</v>
      </c>
      <c r="T9" s="5">
        <v>2014</v>
      </c>
      <c r="U9" s="5">
        <v>2015</v>
      </c>
      <c r="V9" s="5">
        <v>2015</v>
      </c>
      <c r="W9" s="5">
        <v>2015</v>
      </c>
      <c r="X9" s="5">
        <v>2015</v>
      </c>
      <c r="Y9" s="5">
        <v>2015</v>
      </c>
      <c r="Z9" s="5">
        <v>2015</v>
      </c>
      <c r="AA9" s="5">
        <v>2015</v>
      </c>
      <c r="AB9" s="5">
        <v>2015</v>
      </c>
      <c r="AC9" s="5">
        <v>2015</v>
      </c>
      <c r="AD9" s="5">
        <v>2015</v>
      </c>
      <c r="AE9" s="5">
        <v>2015</v>
      </c>
      <c r="AF9" s="5">
        <v>2015</v>
      </c>
      <c r="AG9" s="5">
        <v>2016</v>
      </c>
      <c r="AH9" s="5">
        <v>2016</v>
      </c>
      <c r="AI9" s="5">
        <v>2016</v>
      </c>
      <c r="AJ9" s="5">
        <v>2016</v>
      </c>
      <c r="AK9" s="5">
        <v>2016</v>
      </c>
      <c r="AL9" s="5">
        <v>2016</v>
      </c>
      <c r="AM9" s="5">
        <v>2016</v>
      </c>
      <c r="AN9" s="5">
        <v>2016</v>
      </c>
      <c r="AO9" s="5">
        <v>2016</v>
      </c>
    </row>
    <row r="10" spans="1:53" x14ac:dyDescent="0.2">
      <c r="B10" s="82" t="s">
        <v>56</v>
      </c>
      <c r="C10" s="82"/>
      <c r="D10" s="82"/>
      <c r="E10" s="38"/>
      <c r="F10" s="91">
        <v>4</v>
      </c>
      <c r="G10" s="82">
        <v>4</v>
      </c>
      <c r="H10" s="82">
        <v>4</v>
      </c>
      <c r="I10" s="82">
        <v>1</v>
      </c>
      <c r="J10" s="82">
        <v>1</v>
      </c>
      <c r="K10" s="82">
        <v>1</v>
      </c>
      <c r="L10" s="82">
        <v>2</v>
      </c>
      <c r="M10" s="82">
        <v>2</v>
      </c>
      <c r="N10" s="82">
        <v>2</v>
      </c>
      <c r="O10" s="82">
        <v>3</v>
      </c>
      <c r="P10" s="82">
        <v>3</v>
      </c>
      <c r="Q10" s="82">
        <v>3</v>
      </c>
      <c r="R10" s="82">
        <v>4</v>
      </c>
      <c r="S10" s="82">
        <v>4</v>
      </c>
      <c r="T10" s="82">
        <v>4</v>
      </c>
      <c r="U10" s="82">
        <v>1</v>
      </c>
      <c r="V10" s="82">
        <v>1</v>
      </c>
      <c r="W10" s="82">
        <v>1</v>
      </c>
      <c r="X10" s="82">
        <v>2</v>
      </c>
      <c r="Y10" s="82">
        <v>2</v>
      </c>
      <c r="Z10" s="82">
        <v>2</v>
      </c>
      <c r="AA10" s="82">
        <v>3</v>
      </c>
      <c r="AB10" s="82">
        <v>3</v>
      </c>
      <c r="AC10" s="82">
        <v>3</v>
      </c>
      <c r="AD10" s="82">
        <v>4</v>
      </c>
      <c r="AE10" s="82">
        <v>4</v>
      </c>
      <c r="AF10" s="82">
        <v>4</v>
      </c>
      <c r="AG10" s="82">
        <v>1</v>
      </c>
      <c r="AH10" s="82">
        <v>1</v>
      </c>
      <c r="AI10" s="82">
        <v>1</v>
      </c>
      <c r="AJ10" s="82">
        <v>2</v>
      </c>
      <c r="AK10" s="82">
        <v>2</v>
      </c>
      <c r="AL10" s="82">
        <v>2</v>
      </c>
      <c r="AM10" s="82">
        <v>3</v>
      </c>
      <c r="AN10" s="82">
        <v>3</v>
      </c>
      <c r="AO10" s="82">
        <v>3</v>
      </c>
    </row>
    <row r="11" spans="1:53" x14ac:dyDescent="0.2">
      <c r="E11" s="38"/>
      <c r="F11" s="38"/>
    </row>
    <row r="12" spans="1:53" x14ac:dyDescent="0.2">
      <c r="D12" s="102" t="s">
        <v>101</v>
      </c>
      <c r="F12" s="38"/>
    </row>
    <row r="13" spans="1:53" x14ac:dyDescent="0.2">
      <c r="B13" s="81" t="str">
        <f xml:space="preserve"> "Unit sales (" &amp; IF(variant, "board", "base") &amp; " scenario)"</f>
        <v>Unit sales (board scenario)</v>
      </c>
      <c r="C13" s="81"/>
      <c r="D13" s="66" t="b">
        <v>1</v>
      </c>
      <c r="E13" s="81"/>
      <c r="F13" s="92" cm="1">
        <f t="array" ref="F13:AO15" xml:space="preserve"> Scenarioλ(variant,
      baseUnitsSold, salesGrowth, quarterlySeasonality, ScenarioVolumeDecrease,
      unitSalesPrice, scenarioEffectiveDate, ScenarioPriceIncrease)</f>
        <v>20416.666666666672</v>
      </c>
      <c r="G13" s="79">
        <v>20416.666666666672</v>
      </c>
      <c r="H13" s="79">
        <v>20416.666666666672</v>
      </c>
      <c r="I13" s="79">
        <v>11526.666666666666</v>
      </c>
      <c r="J13" s="79">
        <v>11526.666666666666</v>
      </c>
      <c r="K13" s="79">
        <v>11526.666666666666</v>
      </c>
      <c r="L13" s="79">
        <v>8645</v>
      </c>
      <c r="M13" s="79">
        <v>8645</v>
      </c>
      <c r="N13" s="79">
        <v>8645</v>
      </c>
      <c r="O13" s="79">
        <v>17290</v>
      </c>
      <c r="P13" s="79">
        <v>17290</v>
      </c>
      <c r="Q13" s="79">
        <v>17290</v>
      </c>
      <c r="R13" s="79">
        <v>20171.666666666672</v>
      </c>
      <c r="S13" s="79">
        <v>20171.666666666672</v>
      </c>
      <c r="T13" s="79">
        <v>20171.666666666672</v>
      </c>
      <c r="U13" s="79">
        <v>12909.866666666669</v>
      </c>
      <c r="V13" s="79">
        <v>12909.866666666669</v>
      </c>
      <c r="W13" s="79">
        <v>12909.866666666669</v>
      </c>
      <c r="X13" s="79">
        <v>9682.4000000000015</v>
      </c>
      <c r="Y13" s="79">
        <v>9682.4000000000015</v>
      </c>
      <c r="Z13" s="79">
        <v>9682.4000000000015</v>
      </c>
      <c r="AA13" s="79">
        <v>19364.800000000003</v>
      </c>
      <c r="AB13" s="79">
        <v>19364.800000000003</v>
      </c>
      <c r="AC13" s="79">
        <v>19364.800000000003</v>
      </c>
      <c r="AD13" s="79">
        <v>22592.266666666674</v>
      </c>
      <c r="AE13" s="79">
        <v>22592.266666666674</v>
      </c>
      <c r="AF13" s="79">
        <v>22592.266666666674</v>
      </c>
      <c r="AG13" s="79">
        <v>14459.05066666667</v>
      </c>
      <c r="AH13" s="79">
        <v>14459.05066666667</v>
      </c>
      <c r="AI13" s="79">
        <v>14459.05066666667</v>
      </c>
      <c r="AJ13" s="79">
        <v>10844.288</v>
      </c>
      <c r="AK13" s="79">
        <v>10844.288</v>
      </c>
      <c r="AL13" s="79">
        <v>10844.288</v>
      </c>
      <c r="AM13" s="79">
        <v>21688.576000000001</v>
      </c>
      <c r="AN13" s="79">
        <v>21688.576000000001</v>
      </c>
      <c r="AO13" s="79">
        <v>21688.576000000001</v>
      </c>
    </row>
    <row r="14" spans="1:53" x14ac:dyDescent="0.2">
      <c r="F14" s="93" t="str">
        <v/>
      </c>
      <c r="G14" s="60" t="str">
        <v/>
      </c>
      <c r="H14" s="60" t="str">
        <v/>
      </c>
      <c r="I14" s="60" t="str">
        <v/>
      </c>
      <c r="J14" s="60" t="str">
        <v/>
      </c>
      <c r="K14" s="60" t="str">
        <v/>
      </c>
      <c r="L14" s="60" t="str">
        <v/>
      </c>
      <c r="M14" s="60" t="str">
        <v/>
      </c>
      <c r="N14" s="60" t="str">
        <v/>
      </c>
      <c r="O14" s="60" t="str">
        <v/>
      </c>
      <c r="P14" s="60" t="str">
        <v/>
      </c>
      <c r="Q14" s="60" t="str">
        <v/>
      </c>
      <c r="R14" s="60" t="str">
        <v/>
      </c>
      <c r="S14" s="60" t="str">
        <v/>
      </c>
      <c r="T14" s="60" t="str">
        <v/>
      </c>
      <c r="U14" s="60" t="str">
        <v/>
      </c>
      <c r="V14" s="60" t="str">
        <v/>
      </c>
      <c r="W14" s="60" t="str">
        <v/>
      </c>
      <c r="X14" s="60" t="str">
        <v/>
      </c>
      <c r="Y14" s="60" t="str">
        <v/>
      </c>
      <c r="Z14" s="60" t="str">
        <v/>
      </c>
      <c r="AA14" s="60" t="str">
        <v/>
      </c>
      <c r="AB14" s="60" t="str">
        <v/>
      </c>
      <c r="AC14" s="60" t="str">
        <v/>
      </c>
      <c r="AD14" s="60" t="str">
        <v/>
      </c>
      <c r="AE14" s="60" t="str">
        <v/>
      </c>
      <c r="AF14" s="60" t="str">
        <v/>
      </c>
      <c r="AG14" s="60" t="str">
        <v/>
      </c>
      <c r="AH14" s="60" t="str">
        <v/>
      </c>
      <c r="AI14" s="60" t="str">
        <v/>
      </c>
      <c r="AJ14" s="60" t="str">
        <v/>
      </c>
      <c r="AK14" s="60" t="str">
        <v/>
      </c>
      <c r="AL14" s="60" t="str">
        <v/>
      </c>
      <c r="AM14" s="60" t="str">
        <v/>
      </c>
      <c r="AN14" s="60" t="str">
        <v/>
      </c>
      <c r="AO14" s="60" t="str">
        <v/>
      </c>
    </row>
    <row r="15" spans="1:53" x14ac:dyDescent="0.2">
      <c r="B15" s="82" t="str">
        <f xml:space="preserve"> "Price (" &amp; IF(variant, "board", "base") &amp; " scenario)"</f>
        <v>Price (board scenario)</v>
      </c>
      <c r="C15" s="82"/>
      <c r="D15" s="82"/>
      <c r="E15" s="91"/>
      <c r="F15" s="94">
        <v>29.99</v>
      </c>
      <c r="G15" s="83">
        <v>29.99</v>
      </c>
      <c r="H15" s="83">
        <v>29.99</v>
      </c>
      <c r="I15" s="83">
        <v>33.588799999999999</v>
      </c>
      <c r="J15" s="83">
        <v>33.588799999999999</v>
      </c>
      <c r="K15" s="83">
        <v>33.588799999999999</v>
      </c>
      <c r="L15" s="83">
        <v>33.588799999999999</v>
      </c>
      <c r="M15" s="83">
        <v>33.588799999999999</v>
      </c>
      <c r="N15" s="83">
        <v>33.588799999999999</v>
      </c>
      <c r="O15" s="83">
        <v>33.588799999999999</v>
      </c>
      <c r="P15" s="83">
        <v>33.588799999999999</v>
      </c>
      <c r="Q15" s="83">
        <v>33.588799999999999</v>
      </c>
      <c r="R15" s="83">
        <v>33.588799999999999</v>
      </c>
      <c r="S15" s="83">
        <v>33.588799999999999</v>
      </c>
      <c r="T15" s="83">
        <v>33.588799999999999</v>
      </c>
      <c r="U15" s="83">
        <v>33.588799999999999</v>
      </c>
      <c r="V15" s="83">
        <v>33.588799999999999</v>
      </c>
      <c r="W15" s="83">
        <v>33.588799999999999</v>
      </c>
      <c r="X15" s="83">
        <v>33.588799999999999</v>
      </c>
      <c r="Y15" s="83">
        <v>33.588799999999999</v>
      </c>
      <c r="Z15" s="83">
        <v>33.588799999999999</v>
      </c>
      <c r="AA15" s="83">
        <v>33.588799999999999</v>
      </c>
      <c r="AB15" s="83">
        <v>33.588799999999999</v>
      </c>
      <c r="AC15" s="83">
        <v>33.588799999999999</v>
      </c>
      <c r="AD15" s="83">
        <v>33.588799999999999</v>
      </c>
      <c r="AE15" s="83">
        <v>33.588799999999999</v>
      </c>
      <c r="AF15" s="83">
        <v>33.588799999999999</v>
      </c>
      <c r="AG15" s="83">
        <v>33.588799999999999</v>
      </c>
      <c r="AH15" s="83">
        <v>33.588799999999999</v>
      </c>
      <c r="AI15" s="83">
        <v>33.588799999999999</v>
      </c>
      <c r="AJ15" s="83">
        <v>33.588799999999999</v>
      </c>
      <c r="AK15" s="83">
        <v>33.588799999999999</v>
      </c>
      <c r="AL15" s="83">
        <v>33.588799999999999</v>
      </c>
      <c r="AM15" s="83">
        <v>33.588799999999999</v>
      </c>
      <c r="AN15" s="83">
        <v>33.588799999999999</v>
      </c>
      <c r="AO15" s="83">
        <v>33.588799999999999</v>
      </c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</row>
    <row r="16" spans="1:53" x14ac:dyDescent="0.2">
      <c r="E16" s="38"/>
      <c r="F16" s="100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</row>
    <row r="17" spans="1:41" x14ac:dyDescent="0.2">
      <c r="E17" s="38"/>
      <c r="F17" s="38"/>
    </row>
    <row r="18" spans="1:41" x14ac:dyDescent="0.2">
      <c r="A18" s="84" t="s">
        <v>66</v>
      </c>
      <c r="B18" s="82"/>
      <c r="C18" s="82"/>
      <c r="D18" s="82"/>
      <c r="E18" s="91"/>
      <c r="F18" s="95"/>
      <c r="G18" s="8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</row>
    <row r="19" spans="1:41" x14ac:dyDescent="0.2">
      <c r="B19" s="5" t="s">
        <v>57</v>
      </c>
      <c r="E19" s="38"/>
      <c r="F19" s="93" cm="1">
        <f t="array" ref="F19:AO28" xml:space="preserve"> IncomeStatementλ(unitVolume, unitPrice, unitDirectCosts, depreciationMonthly, interest)</f>
        <v>612295.83333333349</v>
      </c>
      <c r="G19" s="60">
        <v>612295.83333333349</v>
      </c>
      <c r="H19" s="79">
        <v>612295.83333333349</v>
      </c>
      <c r="I19" s="79">
        <v>387166.90133333328</v>
      </c>
      <c r="J19" s="79">
        <v>387166.90133333328</v>
      </c>
      <c r="K19" s="79">
        <v>387166.90133333328</v>
      </c>
      <c r="L19" s="79">
        <v>290375.17599999998</v>
      </c>
      <c r="M19" s="79">
        <v>290375.17599999998</v>
      </c>
      <c r="N19" s="79">
        <v>290375.17599999998</v>
      </c>
      <c r="O19" s="79">
        <v>580750.35199999996</v>
      </c>
      <c r="P19" s="79">
        <v>580750.35199999996</v>
      </c>
      <c r="Q19" s="79">
        <v>580750.35199999996</v>
      </c>
      <c r="R19" s="79">
        <v>677542.07733333344</v>
      </c>
      <c r="S19" s="79">
        <v>677542.07733333344</v>
      </c>
      <c r="T19" s="79">
        <v>677542.07733333344</v>
      </c>
      <c r="U19" s="79">
        <v>433626.92949333339</v>
      </c>
      <c r="V19" s="79">
        <v>433626.92949333339</v>
      </c>
      <c r="W19" s="79">
        <v>433626.92949333339</v>
      </c>
      <c r="X19" s="79">
        <v>325220.19712000003</v>
      </c>
      <c r="Y19" s="79">
        <v>325220.19712000003</v>
      </c>
      <c r="Z19" s="79">
        <v>325220.19712000003</v>
      </c>
      <c r="AA19" s="79">
        <v>650440.39424000005</v>
      </c>
      <c r="AB19" s="79">
        <v>650440.39424000005</v>
      </c>
      <c r="AC19" s="79">
        <v>650440.39424000005</v>
      </c>
      <c r="AD19" s="79">
        <v>758847.12661333359</v>
      </c>
      <c r="AE19" s="79">
        <v>758847.12661333359</v>
      </c>
      <c r="AF19" s="79">
        <v>758847.12661333359</v>
      </c>
      <c r="AG19" s="79">
        <v>485662.16103253345</v>
      </c>
      <c r="AH19" s="79">
        <v>485662.16103253345</v>
      </c>
      <c r="AI19" s="79">
        <v>485662.16103253345</v>
      </c>
      <c r="AJ19" s="79">
        <v>364246.62077440001</v>
      </c>
      <c r="AK19" s="79">
        <v>364246.62077440001</v>
      </c>
      <c r="AL19" s="79">
        <v>364246.62077440001</v>
      </c>
      <c r="AM19" s="79">
        <v>728493.24154880003</v>
      </c>
      <c r="AN19" s="79">
        <v>728493.24154880003</v>
      </c>
      <c r="AO19" s="79">
        <v>728493.24154880003</v>
      </c>
    </row>
    <row r="20" spans="1:41" x14ac:dyDescent="0.2">
      <c r="B20" s="5" t="s">
        <v>58</v>
      </c>
      <c r="E20" s="38"/>
      <c r="F20" s="93">
        <v>-459221.87500000012</v>
      </c>
      <c r="G20" s="60">
        <v>-459221.87500000012</v>
      </c>
      <c r="H20" s="60">
        <v>-459221.87500000012</v>
      </c>
      <c r="I20" s="60">
        <v>-259263.55</v>
      </c>
      <c r="J20" s="60">
        <v>-259263.55</v>
      </c>
      <c r="K20" s="60">
        <v>-259263.55</v>
      </c>
      <c r="L20" s="60">
        <v>-194447.66250000001</v>
      </c>
      <c r="M20" s="60">
        <v>-194447.66250000001</v>
      </c>
      <c r="N20" s="60">
        <v>-194447.66250000001</v>
      </c>
      <c r="O20" s="60">
        <v>-388895.32500000001</v>
      </c>
      <c r="P20" s="60">
        <v>-388895.32500000001</v>
      </c>
      <c r="Q20" s="60">
        <v>-388895.32500000001</v>
      </c>
      <c r="R20" s="60">
        <v>-453711.21250000008</v>
      </c>
      <c r="S20" s="60">
        <v>-453711.21250000008</v>
      </c>
      <c r="T20" s="60">
        <v>-453711.21250000008</v>
      </c>
      <c r="U20" s="60">
        <v>-290375.17600000004</v>
      </c>
      <c r="V20" s="60">
        <v>-290375.17600000004</v>
      </c>
      <c r="W20" s="60">
        <v>-290375.17600000004</v>
      </c>
      <c r="X20" s="60">
        <v>-217781.38200000004</v>
      </c>
      <c r="Y20" s="60">
        <v>-217781.38200000004</v>
      </c>
      <c r="Z20" s="60">
        <v>-217781.38200000004</v>
      </c>
      <c r="AA20" s="60">
        <v>-435562.76400000008</v>
      </c>
      <c r="AB20" s="60">
        <v>-435562.76400000008</v>
      </c>
      <c r="AC20" s="60">
        <v>-435562.76400000008</v>
      </c>
      <c r="AD20" s="60">
        <v>-508156.55800000014</v>
      </c>
      <c r="AE20" s="60">
        <v>-508156.55800000014</v>
      </c>
      <c r="AF20" s="60">
        <v>-508156.55800000014</v>
      </c>
      <c r="AG20" s="60">
        <v>-325220.19712000008</v>
      </c>
      <c r="AH20" s="60">
        <v>-325220.19712000008</v>
      </c>
      <c r="AI20" s="60">
        <v>-325220.19712000008</v>
      </c>
      <c r="AJ20" s="60">
        <v>-243915.14784000002</v>
      </c>
      <c r="AK20" s="60">
        <v>-243915.14784000002</v>
      </c>
      <c r="AL20" s="60">
        <v>-243915.14784000002</v>
      </c>
      <c r="AM20" s="60">
        <v>-487830.29568000004</v>
      </c>
      <c r="AN20" s="60">
        <v>-487830.29568000004</v>
      </c>
      <c r="AO20" s="60">
        <v>-487830.29568000004</v>
      </c>
    </row>
    <row r="21" spans="1:41" x14ac:dyDescent="0.2">
      <c r="B21" s="5" t="s">
        <v>60</v>
      </c>
      <c r="E21" s="38"/>
      <c r="F21" s="93">
        <v>153073.95833333337</v>
      </c>
      <c r="G21" s="60">
        <v>153073.95833333337</v>
      </c>
      <c r="H21" s="60">
        <v>153073.95833333337</v>
      </c>
      <c r="I21" s="60">
        <v>127903.3513333333</v>
      </c>
      <c r="J21" s="60">
        <v>127903.3513333333</v>
      </c>
      <c r="K21" s="60">
        <v>127903.3513333333</v>
      </c>
      <c r="L21" s="60">
        <v>95927.513499999972</v>
      </c>
      <c r="M21" s="60">
        <v>95927.513499999972</v>
      </c>
      <c r="N21" s="60">
        <v>95927.513499999972</v>
      </c>
      <c r="O21" s="60">
        <v>191855.02699999994</v>
      </c>
      <c r="P21" s="60">
        <v>191855.02699999994</v>
      </c>
      <c r="Q21" s="60">
        <v>191855.02699999994</v>
      </c>
      <c r="R21" s="60">
        <v>223830.86483333335</v>
      </c>
      <c r="S21" s="60">
        <v>223830.86483333335</v>
      </c>
      <c r="T21" s="60">
        <v>223830.86483333335</v>
      </c>
      <c r="U21" s="60">
        <v>143251.75349333335</v>
      </c>
      <c r="V21" s="60">
        <v>143251.75349333335</v>
      </c>
      <c r="W21" s="60">
        <v>143251.75349333335</v>
      </c>
      <c r="X21" s="60">
        <v>107438.81511999998</v>
      </c>
      <c r="Y21" s="60">
        <v>107438.81511999998</v>
      </c>
      <c r="Z21" s="60">
        <v>107438.81511999998</v>
      </c>
      <c r="AA21" s="60">
        <v>214877.63023999997</v>
      </c>
      <c r="AB21" s="60">
        <v>214877.63023999997</v>
      </c>
      <c r="AC21" s="60">
        <v>214877.63023999997</v>
      </c>
      <c r="AD21" s="60">
        <v>250690.56861333345</v>
      </c>
      <c r="AE21" s="60">
        <v>250690.56861333345</v>
      </c>
      <c r="AF21" s="60">
        <v>250690.56861333345</v>
      </c>
      <c r="AG21" s="60">
        <v>160441.96391253336</v>
      </c>
      <c r="AH21" s="60">
        <v>160441.96391253336</v>
      </c>
      <c r="AI21" s="60">
        <v>160441.96391253336</v>
      </c>
      <c r="AJ21" s="60">
        <v>120331.47293439999</v>
      </c>
      <c r="AK21" s="60">
        <v>120331.47293439999</v>
      </c>
      <c r="AL21" s="60">
        <v>120331.47293439999</v>
      </c>
      <c r="AM21" s="60">
        <v>240662.94586879999</v>
      </c>
      <c r="AN21" s="60">
        <v>240662.94586879999</v>
      </c>
      <c r="AO21" s="60">
        <v>240662.94586879999</v>
      </c>
    </row>
    <row r="22" spans="1:41" x14ac:dyDescent="0.2">
      <c r="B22" s="5" t="s">
        <v>61</v>
      </c>
      <c r="E22" s="38"/>
      <c r="F22" s="93">
        <v>-100000</v>
      </c>
      <c r="G22" s="60">
        <v>-100000</v>
      </c>
      <c r="H22" s="60">
        <v>-100000</v>
      </c>
      <c r="I22" s="60">
        <v>-104000</v>
      </c>
      <c r="J22" s="60">
        <v>-104000</v>
      </c>
      <c r="K22" s="60">
        <v>-104000</v>
      </c>
      <c r="L22" s="60">
        <v>-104000</v>
      </c>
      <c r="M22" s="60">
        <v>-104000</v>
      </c>
      <c r="N22" s="60">
        <v>-104000</v>
      </c>
      <c r="O22" s="60">
        <v>-104000</v>
      </c>
      <c r="P22" s="60">
        <v>-104000</v>
      </c>
      <c r="Q22" s="60">
        <v>-104000</v>
      </c>
      <c r="R22" s="60">
        <v>-104000</v>
      </c>
      <c r="S22" s="60">
        <v>-104000</v>
      </c>
      <c r="T22" s="60">
        <v>-104000</v>
      </c>
      <c r="U22" s="60">
        <v>-108160</v>
      </c>
      <c r="V22" s="60">
        <v>-108160</v>
      </c>
      <c r="W22" s="60">
        <v>-108160</v>
      </c>
      <c r="X22" s="60">
        <v>-108160</v>
      </c>
      <c r="Y22" s="60">
        <v>-108160</v>
      </c>
      <c r="Z22" s="60">
        <v>-108160</v>
      </c>
      <c r="AA22" s="60">
        <v>-108160</v>
      </c>
      <c r="AB22" s="60">
        <v>-108160</v>
      </c>
      <c r="AC22" s="60">
        <v>-108160</v>
      </c>
      <c r="AD22" s="60">
        <v>-108160</v>
      </c>
      <c r="AE22" s="60">
        <v>-108160</v>
      </c>
      <c r="AF22" s="60">
        <v>-108160</v>
      </c>
      <c r="AG22" s="60">
        <v>-112486.40000000001</v>
      </c>
      <c r="AH22" s="60">
        <v>-112486.40000000001</v>
      </c>
      <c r="AI22" s="60">
        <v>-112486.40000000001</v>
      </c>
      <c r="AJ22" s="60">
        <v>-112486.40000000001</v>
      </c>
      <c r="AK22" s="60">
        <v>-112486.40000000001</v>
      </c>
      <c r="AL22" s="60">
        <v>-112486.40000000001</v>
      </c>
      <c r="AM22" s="60">
        <v>-112486.40000000001</v>
      </c>
      <c r="AN22" s="60">
        <v>-112486.40000000001</v>
      </c>
      <c r="AO22" s="60">
        <v>-112486.40000000001</v>
      </c>
    </row>
    <row r="23" spans="1:41" x14ac:dyDescent="0.2">
      <c r="B23" s="5" t="s">
        <v>62</v>
      </c>
      <c r="E23" s="38"/>
      <c r="F23" s="93">
        <v>53073.958333333372</v>
      </c>
      <c r="G23" s="60">
        <v>53073.958333333372</v>
      </c>
      <c r="H23" s="60">
        <v>53073.958333333372</v>
      </c>
      <c r="I23" s="60">
        <v>23903.351333333296</v>
      </c>
      <c r="J23" s="60">
        <v>23903.351333333296</v>
      </c>
      <c r="K23" s="60">
        <v>23903.351333333296</v>
      </c>
      <c r="L23" s="60">
        <v>-8072.4865000000282</v>
      </c>
      <c r="M23" s="60">
        <v>-8072.4865000000282</v>
      </c>
      <c r="N23" s="60">
        <v>-8072.4865000000282</v>
      </c>
      <c r="O23" s="60">
        <v>87855.026999999944</v>
      </c>
      <c r="P23" s="60">
        <v>87855.026999999944</v>
      </c>
      <c r="Q23" s="60">
        <v>87855.026999999944</v>
      </c>
      <c r="R23" s="60">
        <v>119830.86483333335</v>
      </c>
      <c r="S23" s="60">
        <v>119830.86483333335</v>
      </c>
      <c r="T23" s="60">
        <v>119830.86483333335</v>
      </c>
      <c r="U23" s="60">
        <v>35091.753493333352</v>
      </c>
      <c r="V23" s="60">
        <v>35091.753493333352</v>
      </c>
      <c r="W23" s="60">
        <v>35091.753493333352</v>
      </c>
      <c r="X23" s="60">
        <v>-721.18488000001526</v>
      </c>
      <c r="Y23" s="60">
        <v>-721.18488000001526</v>
      </c>
      <c r="Z23" s="60">
        <v>-721.18488000001526</v>
      </c>
      <c r="AA23" s="60">
        <v>106717.63023999997</v>
      </c>
      <c r="AB23" s="60">
        <v>106717.63023999997</v>
      </c>
      <c r="AC23" s="60">
        <v>106717.63023999997</v>
      </c>
      <c r="AD23" s="60">
        <v>142530.56861333345</v>
      </c>
      <c r="AE23" s="60">
        <v>142530.56861333345</v>
      </c>
      <c r="AF23" s="60">
        <v>142530.56861333345</v>
      </c>
      <c r="AG23" s="60">
        <v>47955.563912533355</v>
      </c>
      <c r="AH23" s="60">
        <v>47955.563912533355</v>
      </c>
      <c r="AI23" s="60">
        <v>47955.563912533355</v>
      </c>
      <c r="AJ23" s="60">
        <v>7845.0729343999847</v>
      </c>
      <c r="AK23" s="60">
        <v>7845.0729343999847</v>
      </c>
      <c r="AL23" s="60">
        <v>7845.0729343999847</v>
      </c>
      <c r="AM23" s="60">
        <v>128176.54586879998</v>
      </c>
      <c r="AN23" s="60">
        <v>128176.54586879998</v>
      </c>
      <c r="AO23" s="60">
        <v>128176.54586879998</v>
      </c>
    </row>
    <row r="24" spans="1:41" x14ac:dyDescent="0.2">
      <c r="B24" s="5" t="s">
        <v>38</v>
      </c>
      <c r="E24" s="38"/>
      <c r="F24" s="93">
        <v>-10000</v>
      </c>
      <c r="G24" s="60">
        <v>-10000</v>
      </c>
      <c r="H24" s="60">
        <v>-10000</v>
      </c>
      <c r="I24" s="60">
        <v>-10000</v>
      </c>
      <c r="J24" s="60">
        <v>-10000</v>
      </c>
      <c r="K24" s="60">
        <v>-10000</v>
      </c>
      <c r="L24" s="60">
        <v>-10000</v>
      </c>
      <c r="M24" s="60">
        <v>-10000</v>
      </c>
      <c r="N24" s="60">
        <v>-10000</v>
      </c>
      <c r="O24" s="60">
        <v>-10000</v>
      </c>
      <c r="P24" s="60">
        <v>-10000</v>
      </c>
      <c r="Q24" s="60">
        <v>-10000</v>
      </c>
      <c r="R24" s="60">
        <v>-10000</v>
      </c>
      <c r="S24" s="60">
        <v>-10000</v>
      </c>
      <c r="T24" s="60">
        <v>-10000</v>
      </c>
      <c r="U24" s="60">
        <v>-10000</v>
      </c>
      <c r="V24" s="60">
        <v>-10000</v>
      </c>
      <c r="W24" s="60">
        <v>-10000</v>
      </c>
      <c r="X24" s="60">
        <v>-10000</v>
      </c>
      <c r="Y24" s="60">
        <v>-10000</v>
      </c>
      <c r="Z24" s="60">
        <v>-10000</v>
      </c>
      <c r="AA24" s="60">
        <v>-10000</v>
      </c>
      <c r="AB24" s="60">
        <v>-10000</v>
      </c>
      <c r="AC24" s="60">
        <v>-10000</v>
      </c>
      <c r="AD24" s="60">
        <v>-10000</v>
      </c>
      <c r="AE24" s="60">
        <v>-10000</v>
      </c>
      <c r="AF24" s="60">
        <v>-10000</v>
      </c>
      <c r="AG24" s="60">
        <v>-10000</v>
      </c>
      <c r="AH24" s="60">
        <v>-10000</v>
      </c>
      <c r="AI24" s="60">
        <v>-10000</v>
      </c>
      <c r="AJ24" s="60">
        <v>-10000</v>
      </c>
      <c r="AK24" s="60">
        <v>-10000</v>
      </c>
      <c r="AL24" s="60">
        <v>-10000</v>
      </c>
      <c r="AM24" s="60">
        <v>-10000</v>
      </c>
      <c r="AN24" s="60">
        <v>-10000</v>
      </c>
      <c r="AO24" s="60">
        <v>-10000</v>
      </c>
    </row>
    <row r="25" spans="1:41" x14ac:dyDescent="0.2">
      <c r="B25" s="5" t="s">
        <v>63</v>
      </c>
      <c r="E25" s="38"/>
      <c r="F25" s="93">
        <v>43073.958333333372</v>
      </c>
      <c r="G25" s="60">
        <v>43073.958333333372</v>
      </c>
      <c r="H25" s="60">
        <v>43073.958333333372</v>
      </c>
      <c r="I25" s="60">
        <v>13903.351333333296</v>
      </c>
      <c r="J25" s="60">
        <v>13903.351333333296</v>
      </c>
      <c r="K25" s="60">
        <v>13903.351333333296</v>
      </c>
      <c r="L25" s="60">
        <v>-18072.486500000028</v>
      </c>
      <c r="M25" s="60">
        <v>-18072.486500000028</v>
      </c>
      <c r="N25" s="60">
        <v>-18072.486500000028</v>
      </c>
      <c r="O25" s="60">
        <v>77855.026999999944</v>
      </c>
      <c r="P25" s="60">
        <v>77855.026999999944</v>
      </c>
      <c r="Q25" s="60">
        <v>77855.026999999944</v>
      </c>
      <c r="R25" s="60">
        <v>109830.86483333335</v>
      </c>
      <c r="S25" s="60">
        <v>109830.86483333335</v>
      </c>
      <c r="T25" s="60">
        <v>109830.86483333335</v>
      </c>
      <c r="U25" s="60">
        <v>25091.753493333352</v>
      </c>
      <c r="V25" s="60">
        <v>25091.753493333352</v>
      </c>
      <c r="W25" s="60">
        <v>25091.753493333352</v>
      </c>
      <c r="X25" s="60">
        <v>-10721.184880000015</v>
      </c>
      <c r="Y25" s="60">
        <v>-10721.184880000015</v>
      </c>
      <c r="Z25" s="60">
        <v>-10721.184880000015</v>
      </c>
      <c r="AA25" s="60">
        <v>96717.630239999969</v>
      </c>
      <c r="AB25" s="60">
        <v>96717.630239999969</v>
      </c>
      <c r="AC25" s="60">
        <v>96717.630239999969</v>
      </c>
      <c r="AD25" s="60">
        <v>132530.56861333345</v>
      </c>
      <c r="AE25" s="60">
        <v>132530.56861333345</v>
      </c>
      <c r="AF25" s="60">
        <v>132530.56861333345</v>
      </c>
      <c r="AG25" s="60">
        <v>37955.563912533355</v>
      </c>
      <c r="AH25" s="60">
        <v>37955.563912533355</v>
      </c>
      <c r="AI25" s="60">
        <v>37955.563912533355</v>
      </c>
      <c r="AJ25" s="60">
        <v>-2154.9270656000153</v>
      </c>
      <c r="AK25" s="60">
        <v>-2154.9270656000153</v>
      </c>
      <c r="AL25" s="60">
        <v>-2154.9270656000153</v>
      </c>
      <c r="AM25" s="60">
        <v>118176.54586879998</v>
      </c>
      <c r="AN25" s="60">
        <v>118176.54586879998</v>
      </c>
      <c r="AO25" s="60">
        <v>118176.54586879998</v>
      </c>
    </row>
    <row r="26" spans="1:41" x14ac:dyDescent="0.2">
      <c r="B26" s="5" t="s">
        <v>34</v>
      </c>
      <c r="E26" s="38"/>
      <c r="F26" s="93">
        <v>-11666.666666666668</v>
      </c>
      <c r="G26" s="60">
        <v>-11666.666666666668</v>
      </c>
      <c r="H26" s="60">
        <v>-11666.666666666668</v>
      </c>
      <c r="I26" s="60">
        <v>-11375</v>
      </c>
      <c r="J26" s="60">
        <v>-11375</v>
      </c>
      <c r="K26" s="60">
        <v>-11083.333333333334</v>
      </c>
      <c r="L26" s="60">
        <v>-11083.333333333334</v>
      </c>
      <c r="M26" s="60">
        <v>-10733.333333333334</v>
      </c>
      <c r="N26" s="60">
        <v>-10733.333333333334</v>
      </c>
      <c r="O26" s="60">
        <v>-10383.333333333334</v>
      </c>
      <c r="P26" s="60">
        <v>-10383.333333333334</v>
      </c>
      <c r="Q26" s="60">
        <v>-10033.333333333334</v>
      </c>
      <c r="R26" s="60">
        <v>-9508.3333333333339</v>
      </c>
      <c r="S26" s="60">
        <v>-9508.3333333333339</v>
      </c>
      <c r="T26" s="60">
        <v>-9158.3333333333339</v>
      </c>
      <c r="U26" s="60">
        <v>-8283.3333333333339</v>
      </c>
      <c r="V26" s="60">
        <v>-8283.3333333333339</v>
      </c>
      <c r="W26" s="60">
        <v>-8283.3333333333339</v>
      </c>
      <c r="X26" s="60">
        <v>-7933.3333333333339</v>
      </c>
      <c r="Y26" s="60">
        <v>-7933.3333333333339</v>
      </c>
      <c r="Z26" s="60">
        <v>-7933.3333333333339</v>
      </c>
      <c r="AA26" s="60">
        <v>-7058.3333333333339</v>
      </c>
      <c r="AB26" s="60">
        <v>-7058.3333333333339</v>
      </c>
      <c r="AC26" s="60">
        <v>-7058.3333333333339</v>
      </c>
      <c r="AD26" s="60">
        <v>-6708.3333333333339</v>
      </c>
      <c r="AE26" s="60">
        <v>-6708.3333333333339</v>
      </c>
      <c r="AF26" s="60">
        <v>-6708.3333333333339</v>
      </c>
      <c r="AG26" s="60">
        <v>-5833.3333333333339</v>
      </c>
      <c r="AH26" s="60">
        <v>-5833.3333333333339</v>
      </c>
      <c r="AI26" s="60">
        <v>-5833.3333333333339</v>
      </c>
      <c r="AJ26" s="60">
        <v>-5833.3333333333339</v>
      </c>
      <c r="AK26" s="60">
        <v>-5833.3333333333339</v>
      </c>
      <c r="AL26" s="60">
        <v>-5833.3333333333339</v>
      </c>
      <c r="AM26" s="60">
        <v>-5833.3333333333339</v>
      </c>
      <c r="AN26" s="60">
        <v>-5833.3333333333339</v>
      </c>
      <c r="AO26" s="60">
        <v>-5833.3333333333339</v>
      </c>
    </row>
    <row r="27" spans="1:41" x14ac:dyDescent="0.2">
      <c r="B27" s="5" t="s">
        <v>64</v>
      </c>
      <c r="E27" s="38"/>
      <c r="F27" s="93">
        <v>0</v>
      </c>
      <c r="G27" s="60">
        <v>0</v>
      </c>
      <c r="H27" s="60">
        <v>0</v>
      </c>
      <c r="I27" s="60">
        <v>0</v>
      </c>
      <c r="J27" s="60">
        <v>0</v>
      </c>
      <c r="K27" s="60">
        <v>0</v>
      </c>
      <c r="L27" s="60">
        <v>0</v>
      </c>
      <c r="M27" s="60">
        <v>0</v>
      </c>
      <c r="N27" s="60">
        <v>0</v>
      </c>
      <c r="O27" s="60">
        <v>0</v>
      </c>
      <c r="P27" s="60">
        <v>0</v>
      </c>
      <c r="Q27" s="60">
        <v>0</v>
      </c>
      <c r="R27" s="60">
        <v>0</v>
      </c>
      <c r="S27" s="60">
        <v>0</v>
      </c>
      <c r="T27" s="60">
        <v>0</v>
      </c>
      <c r="U27" s="60">
        <v>0</v>
      </c>
      <c r="V27" s="60">
        <v>0</v>
      </c>
      <c r="W27" s="60">
        <v>0</v>
      </c>
      <c r="X27" s="60">
        <v>0</v>
      </c>
      <c r="Y27" s="60">
        <v>0</v>
      </c>
      <c r="Z27" s="60">
        <v>0</v>
      </c>
      <c r="AA27" s="60">
        <v>0</v>
      </c>
      <c r="AB27" s="60">
        <v>0</v>
      </c>
      <c r="AC27" s="60">
        <v>0</v>
      </c>
      <c r="AD27" s="60">
        <v>0</v>
      </c>
      <c r="AE27" s="60">
        <v>0</v>
      </c>
      <c r="AF27" s="60">
        <v>0</v>
      </c>
      <c r="AG27" s="60">
        <v>0</v>
      </c>
      <c r="AH27" s="60">
        <v>0</v>
      </c>
      <c r="AI27" s="60">
        <v>0</v>
      </c>
      <c r="AJ27" s="60">
        <v>0</v>
      </c>
      <c r="AK27" s="60">
        <v>0</v>
      </c>
      <c r="AL27" s="60">
        <v>0</v>
      </c>
      <c r="AM27" s="60">
        <v>0</v>
      </c>
      <c r="AN27" s="60">
        <v>0</v>
      </c>
      <c r="AO27" s="60">
        <v>0</v>
      </c>
    </row>
    <row r="28" spans="1:41" x14ac:dyDescent="0.2">
      <c r="A28" s="82"/>
      <c r="B28" s="82" t="s">
        <v>65</v>
      </c>
      <c r="C28" s="82"/>
      <c r="D28" s="82"/>
      <c r="E28" s="91"/>
      <c r="F28" s="95">
        <v>31407.291666666704</v>
      </c>
      <c r="G28" s="80">
        <v>31407.291666666704</v>
      </c>
      <c r="H28" s="80">
        <v>31407.291666666704</v>
      </c>
      <c r="I28" s="80">
        <v>2528.3513333332958</v>
      </c>
      <c r="J28" s="80">
        <v>2528.3513333332958</v>
      </c>
      <c r="K28" s="80">
        <v>2820.0179999999618</v>
      </c>
      <c r="L28" s="80">
        <v>-29155.819833333364</v>
      </c>
      <c r="M28" s="80">
        <v>-28805.819833333364</v>
      </c>
      <c r="N28" s="80">
        <v>-28805.819833333364</v>
      </c>
      <c r="O28" s="80">
        <v>67471.693666666615</v>
      </c>
      <c r="P28" s="80">
        <v>67471.693666666615</v>
      </c>
      <c r="Q28" s="80">
        <v>67821.693666666615</v>
      </c>
      <c r="R28" s="80">
        <v>100322.53150000003</v>
      </c>
      <c r="S28" s="80">
        <v>100322.53150000003</v>
      </c>
      <c r="T28" s="80">
        <v>100672.53150000003</v>
      </c>
      <c r="U28" s="80">
        <v>16808.420160000016</v>
      </c>
      <c r="V28" s="80">
        <v>16808.420160000016</v>
      </c>
      <c r="W28" s="80">
        <v>16808.420160000016</v>
      </c>
      <c r="X28" s="80">
        <v>-18654.518213333351</v>
      </c>
      <c r="Y28" s="80">
        <v>-18654.518213333351</v>
      </c>
      <c r="Z28" s="80">
        <v>-18654.518213333351</v>
      </c>
      <c r="AA28" s="80">
        <v>89659.296906666641</v>
      </c>
      <c r="AB28" s="80">
        <v>89659.296906666641</v>
      </c>
      <c r="AC28" s="80">
        <v>89659.296906666641</v>
      </c>
      <c r="AD28" s="80">
        <v>125822.23528000012</v>
      </c>
      <c r="AE28" s="80">
        <v>125822.23528000012</v>
      </c>
      <c r="AF28" s="80">
        <v>125822.23528000012</v>
      </c>
      <c r="AG28" s="80">
        <v>32122.230579200019</v>
      </c>
      <c r="AH28" s="80">
        <v>32122.230579200019</v>
      </c>
      <c r="AI28" s="80">
        <v>32122.230579200019</v>
      </c>
      <c r="AJ28" s="80">
        <v>-7988.2603989333493</v>
      </c>
      <c r="AK28" s="80">
        <v>-7988.2603989333493</v>
      </c>
      <c r="AL28" s="80">
        <v>-7988.2603989333493</v>
      </c>
      <c r="AM28" s="80">
        <v>112343.21253546665</v>
      </c>
      <c r="AN28" s="80">
        <v>112343.21253546665</v>
      </c>
      <c r="AO28" s="80">
        <v>112343.21253546665</v>
      </c>
    </row>
    <row r="29" spans="1:41" x14ac:dyDescent="0.2">
      <c r="E29" s="38"/>
      <c r="F29" s="93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</row>
    <row r="30" spans="1:41" x14ac:dyDescent="0.2">
      <c r="A30" s="14" t="s">
        <v>67</v>
      </c>
      <c r="E30" s="38"/>
      <c r="F30" s="93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</row>
    <row r="31" spans="1:41" x14ac:dyDescent="0.2">
      <c r="B31" s="81" t="s">
        <v>68</v>
      </c>
      <c r="C31" s="81"/>
      <c r="D31" s="81"/>
      <c r="E31" s="89"/>
      <c r="F31" s="92" cm="1">
        <f t="array" ref="F31:AO35" xml:space="preserve"> DebtScheduleλ(modelStart, modelDuration, debtAmortisationDate, debtFacilityA, debtAmortisationAmount, interestRate / 12)</f>
        <v>2000000</v>
      </c>
      <c r="G31" s="79">
        <v>2000000</v>
      </c>
      <c r="H31" s="79">
        <v>2000000</v>
      </c>
      <c r="I31" s="79">
        <v>1950000</v>
      </c>
      <c r="J31" s="79">
        <v>1950000</v>
      </c>
      <c r="K31" s="79">
        <v>1900000</v>
      </c>
      <c r="L31" s="79">
        <v>1900000</v>
      </c>
      <c r="M31" s="79">
        <v>1840000</v>
      </c>
      <c r="N31" s="79">
        <v>1840000</v>
      </c>
      <c r="O31" s="79">
        <v>1780000</v>
      </c>
      <c r="P31" s="79">
        <v>1780000</v>
      </c>
      <c r="Q31" s="79">
        <v>1720000</v>
      </c>
      <c r="R31" s="79">
        <v>1630000</v>
      </c>
      <c r="S31" s="79">
        <v>1630000</v>
      </c>
      <c r="T31" s="79">
        <v>1570000</v>
      </c>
      <c r="U31" s="79">
        <v>1420000</v>
      </c>
      <c r="V31" s="79">
        <v>1420000</v>
      </c>
      <c r="W31" s="79">
        <v>1420000</v>
      </c>
      <c r="X31" s="79">
        <v>1360000</v>
      </c>
      <c r="Y31" s="79">
        <v>1360000</v>
      </c>
      <c r="Z31" s="79">
        <v>1360000</v>
      </c>
      <c r="AA31" s="79">
        <v>1210000</v>
      </c>
      <c r="AB31" s="79">
        <v>1210000</v>
      </c>
      <c r="AC31" s="79">
        <v>1210000</v>
      </c>
      <c r="AD31" s="79">
        <v>1150000</v>
      </c>
      <c r="AE31" s="79">
        <v>1150000</v>
      </c>
      <c r="AF31" s="79">
        <v>1150000</v>
      </c>
      <c r="AG31" s="79">
        <v>1000000</v>
      </c>
      <c r="AH31" s="79">
        <v>1000000</v>
      </c>
      <c r="AI31" s="79">
        <v>1000000</v>
      </c>
      <c r="AJ31" s="79">
        <v>1000000</v>
      </c>
      <c r="AK31" s="79">
        <v>1000000</v>
      </c>
      <c r="AL31" s="79">
        <v>1000000</v>
      </c>
      <c r="AM31" s="79">
        <v>1000000</v>
      </c>
      <c r="AN31" s="79">
        <v>1000000</v>
      </c>
      <c r="AO31" s="79">
        <v>1000000</v>
      </c>
    </row>
    <row r="32" spans="1:41" x14ac:dyDescent="0.2">
      <c r="B32" s="5" t="s">
        <v>69</v>
      </c>
      <c r="E32" s="38"/>
      <c r="F32" s="93">
        <v>0</v>
      </c>
      <c r="G32" s="60">
        <v>0</v>
      </c>
      <c r="H32" s="60">
        <v>-50000</v>
      </c>
      <c r="I32" s="60">
        <v>0</v>
      </c>
      <c r="J32" s="60">
        <v>-50000</v>
      </c>
      <c r="K32" s="60">
        <v>0</v>
      </c>
      <c r="L32" s="60">
        <v>-60000</v>
      </c>
      <c r="M32" s="60">
        <v>0</v>
      </c>
      <c r="N32" s="60">
        <v>-60000</v>
      </c>
      <c r="O32" s="60">
        <v>0</v>
      </c>
      <c r="P32" s="60">
        <v>-60000</v>
      </c>
      <c r="Q32" s="60">
        <v>-90000</v>
      </c>
      <c r="R32" s="60">
        <v>0</v>
      </c>
      <c r="S32" s="60">
        <v>-60000</v>
      </c>
      <c r="T32" s="60">
        <v>-150000</v>
      </c>
      <c r="U32" s="60">
        <v>0</v>
      </c>
      <c r="V32" s="60">
        <v>0</v>
      </c>
      <c r="W32" s="60">
        <v>-60000</v>
      </c>
      <c r="X32" s="60">
        <v>0</v>
      </c>
      <c r="Y32" s="60">
        <v>0</v>
      </c>
      <c r="Z32" s="60">
        <v>-150000</v>
      </c>
      <c r="AA32" s="60">
        <v>0</v>
      </c>
      <c r="AB32" s="60">
        <v>0</v>
      </c>
      <c r="AC32" s="60">
        <v>-60000</v>
      </c>
      <c r="AD32" s="60">
        <v>0</v>
      </c>
      <c r="AE32" s="60">
        <v>0</v>
      </c>
      <c r="AF32" s="60">
        <v>-150000</v>
      </c>
      <c r="AG32" s="60">
        <v>0</v>
      </c>
      <c r="AH32" s="60">
        <v>0</v>
      </c>
      <c r="AI32" s="60">
        <v>0</v>
      </c>
      <c r="AJ32" s="60">
        <v>0</v>
      </c>
      <c r="AK32" s="60">
        <v>0</v>
      </c>
      <c r="AL32" s="60">
        <v>0</v>
      </c>
      <c r="AM32" s="60">
        <v>0</v>
      </c>
      <c r="AN32" s="60">
        <v>0</v>
      </c>
      <c r="AO32" s="60">
        <v>0</v>
      </c>
    </row>
    <row r="33" spans="1:41" x14ac:dyDescent="0.2">
      <c r="B33" s="5" t="s">
        <v>70</v>
      </c>
      <c r="E33" s="38"/>
      <c r="F33" s="93">
        <v>2000000</v>
      </c>
      <c r="G33" s="60">
        <v>2000000</v>
      </c>
      <c r="H33" s="60">
        <v>1950000</v>
      </c>
      <c r="I33" s="60">
        <v>1950000</v>
      </c>
      <c r="J33" s="60">
        <v>1900000</v>
      </c>
      <c r="K33" s="60">
        <v>1900000</v>
      </c>
      <c r="L33" s="60">
        <v>1840000</v>
      </c>
      <c r="M33" s="60">
        <v>1840000</v>
      </c>
      <c r="N33" s="60">
        <v>1780000</v>
      </c>
      <c r="O33" s="60">
        <v>1780000</v>
      </c>
      <c r="P33" s="60">
        <v>1720000</v>
      </c>
      <c r="Q33" s="60">
        <v>1630000</v>
      </c>
      <c r="R33" s="60">
        <v>1630000</v>
      </c>
      <c r="S33" s="60">
        <v>1570000</v>
      </c>
      <c r="T33" s="60">
        <v>1420000</v>
      </c>
      <c r="U33" s="60">
        <v>1420000</v>
      </c>
      <c r="V33" s="60">
        <v>1420000</v>
      </c>
      <c r="W33" s="60">
        <v>1360000</v>
      </c>
      <c r="X33" s="60">
        <v>1360000</v>
      </c>
      <c r="Y33" s="60">
        <v>1360000</v>
      </c>
      <c r="Z33" s="60">
        <v>1210000</v>
      </c>
      <c r="AA33" s="60">
        <v>1210000</v>
      </c>
      <c r="AB33" s="60">
        <v>1210000</v>
      </c>
      <c r="AC33" s="60">
        <v>1150000</v>
      </c>
      <c r="AD33" s="60">
        <v>1150000</v>
      </c>
      <c r="AE33" s="60">
        <v>1150000</v>
      </c>
      <c r="AF33" s="60">
        <v>1000000</v>
      </c>
      <c r="AG33" s="60">
        <v>1000000</v>
      </c>
      <c r="AH33" s="60">
        <v>1000000</v>
      </c>
      <c r="AI33" s="60">
        <v>1000000</v>
      </c>
      <c r="AJ33" s="60">
        <v>1000000</v>
      </c>
      <c r="AK33" s="60">
        <v>1000000</v>
      </c>
      <c r="AL33" s="60">
        <v>1000000</v>
      </c>
      <c r="AM33" s="60">
        <v>1000000</v>
      </c>
      <c r="AN33" s="60">
        <v>1000000</v>
      </c>
      <c r="AO33" s="60">
        <v>1000000</v>
      </c>
    </row>
    <row r="34" spans="1:41" x14ac:dyDescent="0.2">
      <c r="E34" s="38"/>
      <c r="F34" s="93" t="str">
        <v/>
      </c>
      <c r="G34" s="60" t="str">
        <v/>
      </c>
      <c r="H34" s="60" t="str">
        <v/>
      </c>
      <c r="I34" s="60" t="str">
        <v/>
      </c>
      <c r="J34" s="60" t="str">
        <v/>
      </c>
      <c r="K34" s="60" t="str">
        <v/>
      </c>
      <c r="L34" s="60" t="str">
        <v/>
      </c>
      <c r="M34" s="60" t="str">
        <v/>
      </c>
      <c r="N34" s="60" t="str">
        <v/>
      </c>
      <c r="O34" s="60" t="str">
        <v/>
      </c>
      <c r="P34" s="60" t="str">
        <v/>
      </c>
      <c r="Q34" s="60" t="str">
        <v/>
      </c>
      <c r="R34" s="60" t="str">
        <v/>
      </c>
      <c r="S34" s="60" t="str">
        <v/>
      </c>
      <c r="T34" s="60" t="str">
        <v/>
      </c>
      <c r="U34" s="60" t="str">
        <v/>
      </c>
      <c r="V34" s="60" t="str">
        <v/>
      </c>
      <c r="W34" s="60" t="str">
        <v/>
      </c>
      <c r="X34" s="60" t="str">
        <v/>
      </c>
      <c r="Y34" s="60" t="str">
        <v/>
      </c>
      <c r="Z34" s="60" t="str">
        <v/>
      </c>
      <c r="AA34" s="60" t="str">
        <v/>
      </c>
      <c r="AB34" s="60" t="str">
        <v/>
      </c>
      <c r="AC34" s="60" t="str">
        <v/>
      </c>
      <c r="AD34" s="60" t="str">
        <v/>
      </c>
      <c r="AE34" s="60" t="str">
        <v/>
      </c>
      <c r="AF34" s="60" t="str">
        <v/>
      </c>
      <c r="AG34" s="60" t="str">
        <v/>
      </c>
      <c r="AH34" s="60" t="str">
        <v/>
      </c>
      <c r="AI34" s="60" t="str">
        <v/>
      </c>
      <c r="AJ34" s="60" t="str">
        <v/>
      </c>
      <c r="AK34" s="60" t="str">
        <v/>
      </c>
      <c r="AL34" s="60" t="str">
        <v/>
      </c>
      <c r="AM34" s="60" t="str">
        <v/>
      </c>
      <c r="AN34" s="60" t="str">
        <v/>
      </c>
      <c r="AO34" s="60" t="str">
        <v/>
      </c>
    </row>
    <row r="35" spans="1:41" x14ac:dyDescent="0.2">
      <c r="B35" s="82" t="s">
        <v>34</v>
      </c>
      <c r="C35" s="82"/>
      <c r="D35" s="82"/>
      <c r="E35" s="91"/>
      <c r="F35" s="95">
        <v>11666.666666666668</v>
      </c>
      <c r="G35" s="80">
        <v>11666.666666666668</v>
      </c>
      <c r="H35" s="80">
        <v>11666.666666666668</v>
      </c>
      <c r="I35" s="80">
        <v>11375</v>
      </c>
      <c r="J35" s="80">
        <v>11375</v>
      </c>
      <c r="K35" s="80">
        <v>11083.333333333334</v>
      </c>
      <c r="L35" s="80">
        <v>11083.333333333334</v>
      </c>
      <c r="M35" s="80">
        <v>10733.333333333334</v>
      </c>
      <c r="N35" s="80">
        <v>10733.333333333334</v>
      </c>
      <c r="O35" s="80">
        <v>10383.333333333334</v>
      </c>
      <c r="P35" s="80">
        <v>10383.333333333334</v>
      </c>
      <c r="Q35" s="80">
        <v>10033.333333333334</v>
      </c>
      <c r="R35" s="80">
        <v>9508.3333333333339</v>
      </c>
      <c r="S35" s="80">
        <v>9508.3333333333339</v>
      </c>
      <c r="T35" s="80">
        <v>9158.3333333333339</v>
      </c>
      <c r="U35" s="80">
        <v>8283.3333333333339</v>
      </c>
      <c r="V35" s="80">
        <v>8283.3333333333339</v>
      </c>
      <c r="W35" s="80">
        <v>8283.3333333333339</v>
      </c>
      <c r="X35" s="80">
        <v>7933.3333333333339</v>
      </c>
      <c r="Y35" s="80">
        <v>7933.3333333333339</v>
      </c>
      <c r="Z35" s="80">
        <v>7933.3333333333339</v>
      </c>
      <c r="AA35" s="80">
        <v>7058.3333333333339</v>
      </c>
      <c r="AB35" s="80">
        <v>7058.3333333333339</v>
      </c>
      <c r="AC35" s="80">
        <v>7058.3333333333339</v>
      </c>
      <c r="AD35" s="80">
        <v>6708.3333333333339</v>
      </c>
      <c r="AE35" s="80">
        <v>6708.3333333333339</v>
      </c>
      <c r="AF35" s="80">
        <v>6708.3333333333339</v>
      </c>
      <c r="AG35" s="80">
        <v>5833.3333333333339</v>
      </c>
      <c r="AH35" s="80">
        <v>5833.3333333333339</v>
      </c>
      <c r="AI35" s="80">
        <v>5833.3333333333339</v>
      </c>
      <c r="AJ35" s="80">
        <v>5833.3333333333339</v>
      </c>
      <c r="AK35" s="80">
        <v>5833.3333333333339</v>
      </c>
      <c r="AL35" s="80">
        <v>5833.3333333333339</v>
      </c>
      <c r="AM35" s="80">
        <v>5833.3333333333339</v>
      </c>
      <c r="AN35" s="80">
        <v>5833.3333333333339</v>
      </c>
      <c r="AO35" s="80">
        <v>5833.3333333333339</v>
      </c>
    </row>
    <row r="36" spans="1:41" x14ac:dyDescent="0.2">
      <c r="E36" s="38"/>
      <c r="F36" s="93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</row>
    <row r="37" spans="1:41" x14ac:dyDescent="0.2">
      <c r="A37" s="14" t="s">
        <v>71</v>
      </c>
      <c r="E37" s="38"/>
      <c r="F37" s="93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</row>
    <row r="38" spans="1:41" x14ac:dyDescent="0.2">
      <c r="E38" s="38"/>
      <c r="F38" s="93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</row>
    <row r="39" spans="1:41" x14ac:dyDescent="0.2">
      <c r="B39" s="81" t="s">
        <v>72</v>
      </c>
      <c r="C39" s="81"/>
      <c r="D39" s="81"/>
      <c r="E39" s="96">
        <f xml:space="preserve"> openingAccReceivable</f>
        <v>600000</v>
      </c>
      <c r="F39" s="92" cm="1">
        <f t="array" ref="F39:I39" xml:space="preserve"> WorkingCapitalFromOpeningλ(openingAccReceivable, openingCashReceiptTiming)</f>
        <v>420000</v>
      </c>
      <c r="G39" s="79">
        <v>60000</v>
      </c>
      <c r="H39" s="79">
        <v>0</v>
      </c>
      <c r="I39" s="79">
        <v>0</v>
      </c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</row>
    <row r="40" spans="1:41" x14ac:dyDescent="0.2">
      <c r="E40" s="97"/>
      <c r="F40" s="3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</row>
    <row r="41" spans="1:41" x14ac:dyDescent="0.2">
      <c r="B41" s="5" t="s">
        <v>73</v>
      </c>
      <c r="E41" s="97"/>
      <c r="F41" s="93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</row>
    <row r="42" spans="1:41" x14ac:dyDescent="0.2">
      <c r="B42" s="85" t="s">
        <v>68</v>
      </c>
      <c r="E42" s="38"/>
      <c r="F42" s="93" cm="1">
        <f t="array" ref="F42:AO45" xml:space="preserve"> WorkingCapitalλ(revenue, cashReceiptTiming)</f>
        <v>0</v>
      </c>
      <c r="G42" s="60">
        <v>612295.83333333349</v>
      </c>
      <c r="H42" s="60">
        <v>857214.16666666698</v>
      </c>
      <c r="I42" s="60">
        <v>949058.5400000005</v>
      </c>
      <c r="J42" s="60">
        <v>723929.61133333389</v>
      </c>
      <c r="K42" s="60">
        <v>633878.04266666714</v>
      </c>
      <c r="L42" s="60">
        <v>600108.70400000038</v>
      </c>
      <c r="M42" s="60">
        <v>503316.98000000033</v>
      </c>
      <c r="N42" s="60">
        <v>464600.28600000031</v>
      </c>
      <c r="O42" s="60">
        <v>450081.5320000003</v>
      </c>
      <c r="P42" s="60">
        <v>740456.70400000026</v>
      </c>
      <c r="Q42" s="60">
        <v>856606.77600000019</v>
      </c>
      <c r="R42" s="60">
        <v>900163.04800000018</v>
      </c>
      <c r="S42" s="60">
        <v>996954.77533333364</v>
      </c>
      <c r="T42" s="60">
        <v>1035671.4626666672</v>
      </c>
      <c r="U42" s="60">
        <v>1050190.2200000007</v>
      </c>
      <c r="V42" s="60">
        <v>806275.06949333404</v>
      </c>
      <c r="W42" s="60">
        <v>708709.0089866675</v>
      </c>
      <c r="X42" s="60">
        <v>672121.73848000099</v>
      </c>
      <c r="Y42" s="60">
        <v>563715.00560000096</v>
      </c>
      <c r="Z42" s="60">
        <v>520352.31272000098</v>
      </c>
      <c r="AA42" s="60">
        <v>504091.29984000098</v>
      </c>
      <c r="AB42" s="60">
        <v>829311.49408000102</v>
      </c>
      <c r="AC42" s="60">
        <v>959399.56832000101</v>
      </c>
      <c r="AD42" s="60">
        <v>1008182.6025600011</v>
      </c>
      <c r="AE42" s="60">
        <v>1116589.3391733347</v>
      </c>
      <c r="AF42" s="60">
        <v>1159952.0357866683</v>
      </c>
      <c r="AG42" s="60">
        <v>1176213.042400002</v>
      </c>
      <c r="AH42" s="60">
        <v>903028.0734325354</v>
      </c>
      <c r="AI42" s="60">
        <v>793754.08446506876</v>
      </c>
      <c r="AJ42" s="60">
        <v>752776.33549760212</v>
      </c>
      <c r="AK42" s="60">
        <v>631360.79627200216</v>
      </c>
      <c r="AL42" s="60">
        <v>582794.57704640215</v>
      </c>
      <c r="AM42" s="60">
        <v>564582.24782080215</v>
      </c>
      <c r="AN42" s="60">
        <v>928828.8693696023</v>
      </c>
      <c r="AO42" s="60">
        <v>1074527.5209184024</v>
      </c>
    </row>
    <row r="43" spans="1:41" x14ac:dyDescent="0.2">
      <c r="B43" s="85" t="s">
        <v>74</v>
      </c>
      <c r="E43" s="38"/>
      <c r="F43" s="93">
        <v>612295.83333333349</v>
      </c>
      <c r="G43" s="60">
        <v>612295.83333333349</v>
      </c>
      <c r="H43" s="60">
        <v>612295.83333333349</v>
      </c>
      <c r="I43" s="60">
        <v>387166.90133333328</v>
      </c>
      <c r="J43" s="60">
        <v>387166.90133333328</v>
      </c>
      <c r="K43" s="60">
        <v>387166.90133333328</v>
      </c>
      <c r="L43" s="60">
        <v>290375.17599999998</v>
      </c>
      <c r="M43" s="60">
        <v>290375.17599999998</v>
      </c>
      <c r="N43" s="60">
        <v>290375.17599999998</v>
      </c>
      <c r="O43" s="60">
        <v>580750.35199999996</v>
      </c>
      <c r="P43" s="60">
        <v>580750.35199999996</v>
      </c>
      <c r="Q43" s="60">
        <v>580750.35199999996</v>
      </c>
      <c r="R43" s="60">
        <v>677542.07733333344</v>
      </c>
      <c r="S43" s="60">
        <v>677542.07733333344</v>
      </c>
      <c r="T43" s="60">
        <v>677542.07733333344</v>
      </c>
      <c r="U43" s="60">
        <v>433626.92949333339</v>
      </c>
      <c r="V43" s="60">
        <v>433626.92949333339</v>
      </c>
      <c r="W43" s="60">
        <v>433626.92949333339</v>
      </c>
      <c r="X43" s="60">
        <v>325220.19712000003</v>
      </c>
      <c r="Y43" s="60">
        <v>325220.19712000003</v>
      </c>
      <c r="Z43" s="60">
        <v>325220.19712000003</v>
      </c>
      <c r="AA43" s="60">
        <v>650440.39424000005</v>
      </c>
      <c r="AB43" s="60">
        <v>650440.39424000005</v>
      </c>
      <c r="AC43" s="60">
        <v>650440.39424000005</v>
      </c>
      <c r="AD43" s="60">
        <v>758847.12661333359</v>
      </c>
      <c r="AE43" s="60">
        <v>758847.12661333359</v>
      </c>
      <c r="AF43" s="60">
        <v>758847.12661333359</v>
      </c>
      <c r="AG43" s="60">
        <v>485662.16103253345</v>
      </c>
      <c r="AH43" s="60">
        <v>485662.16103253345</v>
      </c>
      <c r="AI43" s="60">
        <v>485662.16103253345</v>
      </c>
      <c r="AJ43" s="60">
        <v>364246.62077440001</v>
      </c>
      <c r="AK43" s="60">
        <v>364246.62077440001</v>
      </c>
      <c r="AL43" s="60">
        <v>364246.62077440001</v>
      </c>
      <c r="AM43" s="60">
        <v>728493.24154880003</v>
      </c>
      <c r="AN43" s="60">
        <v>728493.24154880003</v>
      </c>
      <c r="AO43" s="60">
        <v>728493.24154880003</v>
      </c>
    </row>
    <row r="44" spans="1:41" x14ac:dyDescent="0.2">
      <c r="B44" s="85" t="s">
        <v>75</v>
      </c>
      <c r="E44" s="38"/>
      <c r="F44" s="93">
        <v>0</v>
      </c>
      <c r="G44" s="60">
        <v>-367377.5</v>
      </c>
      <c r="H44" s="60">
        <v>-520451.46</v>
      </c>
      <c r="I44" s="60">
        <v>-612295.82999999996</v>
      </c>
      <c r="J44" s="60">
        <v>-477218.47</v>
      </c>
      <c r="K44" s="60">
        <v>-420936.24</v>
      </c>
      <c r="L44" s="60">
        <v>-387166.9</v>
      </c>
      <c r="M44" s="60">
        <v>-329091.87</v>
      </c>
      <c r="N44" s="60">
        <v>-304893.93</v>
      </c>
      <c r="O44" s="60">
        <v>-290375.18</v>
      </c>
      <c r="P44" s="60">
        <v>-464600.28</v>
      </c>
      <c r="Q44" s="60">
        <v>-537194.07999999996</v>
      </c>
      <c r="R44" s="60">
        <v>-580750.35</v>
      </c>
      <c r="S44" s="60">
        <v>-638825.39</v>
      </c>
      <c r="T44" s="60">
        <v>-663023.31999999995</v>
      </c>
      <c r="U44" s="60">
        <v>-677542.08</v>
      </c>
      <c r="V44" s="60">
        <v>-531192.99</v>
      </c>
      <c r="W44" s="60">
        <v>-470214.2</v>
      </c>
      <c r="X44" s="60">
        <v>-433626.93</v>
      </c>
      <c r="Y44" s="60">
        <v>-368582.89</v>
      </c>
      <c r="Z44" s="60">
        <v>-341481.21</v>
      </c>
      <c r="AA44" s="60">
        <v>-325220.2</v>
      </c>
      <c r="AB44" s="60">
        <v>-520352.32</v>
      </c>
      <c r="AC44" s="60">
        <v>-601657.36</v>
      </c>
      <c r="AD44" s="60">
        <v>-650440.39</v>
      </c>
      <c r="AE44" s="60">
        <v>-715484.43</v>
      </c>
      <c r="AF44" s="60">
        <v>-742586.12</v>
      </c>
      <c r="AG44" s="60">
        <v>-758847.13</v>
      </c>
      <c r="AH44" s="60">
        <v>-594936.15</v>
      </c>
      <c r="AI44" s="60">
        <v>-526639.91</v>
      </c>
      <c r="AJ44" s="60">
        <v>-485662.16</v>
      </c>
      <c r="AK44" s="60">
        <v>-412812.84</v>
      </c>
      <c r="AL44" s="60">
        <v>-382458.95</v>
      </c>
      <c r="AM44" s="60">
        <v>-364246.62</v>
      </c>
      <c r="AN44" s="60">
        <v>-582794.59</v>
      </c>
      <c r="AO44" s="60">
        <v>-673856.25</v>
      </c>
    </row>
    <row r="45" spans="1:41" x14ac:dyDescent="0.2">
      <c r="B45" s="85" t="s">
        <v>70</v>
      </c>
      <c r="E45" s="38"/>
      <c r="F45" s="93">
        <v>612295.83333333349</v>
      </c>
      <c r="G45" s="60">
        <v>857214.16666666698</v>
      </c>
      <c r="H45" s="60">
        <v>949058.5400000005</v>
      </c>
      <c r="I45" s="60">
        <v>723929.61133333389</v>
      </c>
      <c r="J45" s="60">
        <v>633878.04266666714</v>
      </c>
      <c r="K45" s="60">
        <v>600108.70400000038</v>
      </c>
      <c r="L45" s="60">
        <v>503316.98000000033</v>
      </c>
      <c r="M45" s="60">
        <v>464600.28600000031</v>
      </c>
      <c r="N45" s="60">
        <v>450081.5320000003</v>
      </c>
      <c r="O45" s="60">
        <v>740456.70400000026</v>
      </c>
      <c r="P45" s="60">
        <v>856606.77600000019</v>
      </c>
      <c r="Q45" s="60">
        <v>900163.04800000018</v>
      </c>
      <c r="R45" s="60">
        <v>996954.77533333364</v>
      </c>
      <c r="S45" s="60">
        <v>1035671.4626666671</v>
      </c>
      <c r="T45" s="60">
        <v>1050190.2200000007</v>
      </c>
      <c r="U45" s="60">
        <v>806275.06949333404</v>
      </c>
      <c r="V45" s="60">
        <v>708709.0089866675</v>
      </c>
      <c r="W45" s="60">
        <v>672121.73848000087</v>
      </c>
      <c r="X45" s="60">
        <v>563715.00560000096</v>
      </c>
      <c r="Y45" s="60">
        <v>520352.31272000098</v>
      </c>
      <c r="Z45" s="60">
        <v>504091.29984000098</v>
      </c>
      <c r="AA45" s="60">
        <v>829311.49408000102</v>
      </c>
      <c r="AB45" s="60">
        <v>959399.56832000101</v>
      </c>
      <c r="AC45" s="60">
        <v>1008182.6025600011</v>
      </c>
      <c r="AD45" s="60">
        <v>1116589.3391733347</v>
      </c>
      <c r="AE45" s="60">
        <v>1159952.0357866683</v>
      </c>
      <c r="AF45" s="60">
        <v>1176213.042400002</v>
      </c>
      <c r="AG45" s="60">
        <v>903028.0734325354</v>
      </c>
      <c r="AH45" s="60">
        <v>793754.08446506876</v>
      </c>
      <c r="AI45" s="60">
        <v>752776.33549760212</v>
      </c>
      <c r="AJ45" s="60">
        <v>631360.79627200216</v>
      </c>
      <c r="AK45" s="60">
        <v>582794.57704640215</v>
      </c>
      <c r="AL45" s="60">
        <v>564582.24782080215</v>
      </c>
      <c r="AM45" s="60">
        <v>928828.86936960218</v>
      </c>
      <c r="AN45" s="60">
        <v>1074527.5209184024</v>
      </c>
      <c r="AO45" s="60">
        <v>1129164.5124672023</v>
      </c>
    </row>
    <row r="46" spans="1:41" x14ac:dyDescent="0.2">
      <c r="E46" s="97"/>
      <c r="F46" s="93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</row>
    <row r="47" spans="1:41" x14ac:dyDescent="0.2">
      <c r="B47" s="5" t="s">
        <v>76</v>
      </c>
      <c r="E47" s="98">
        <f xml:space="preserve"> openingAccountsPayable</f>
        <v>350000</v>
      </c>
      <c r="F47" s="93" cm="1">
        <f t="array" ref="F47:I47" xml:space="preserve"> WorkingCapitalFromOpeningλ(openingAccountsPayable, openingCashPaymentTiming)</f>
        <v>245000</v>
      </c>
      <c r="G47" s="60">
        <v>35000</v>
      </c>
      <c r="H47" s="60">
        <v>0</v>
      </c>
      <c r="I47" s="60">
        <v>0</v>
      </c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</row>
    <row r="48" spans="1:41" x14ac:dyDescent="0.2">
      <c r="E48" s="38"/>
      <c r="F48" s="38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</row>
    <row r="49" spans="1:41" x14ac:dyDescent="0.2">
      <c r="B49" s="5" t="s">
        <v>77</v>
      </c>
      <c r="E49" s="38"/>
      <c r="F49" s="93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</row>
    <row r="50" spans="1:41" x14ac:dyDescent="0.2">
      <c r="B50" s="85" t="s">
        <v>68</v>
      </c>
      <c r="E50" s="38"/>
      <c r="F50" s="93" cm="1">
        <f t="array" ref="F50:AO53" xml:space="preserve"> WorkingCapitalλ(-costs, cashPaymentTiming)</f>
        <v>0</v>
      </c>
      <c r="G50" s="60">
        <v>559221.875</v>
      </c>
      <c r="H50" s="60">
        <v>643105.16000000015</v>
      </c>
      <c r="I50" s="60">
        <v>671066.25500000024</v>
      </c>
      <c r="J50" s="60">
        <v>475107.92500000022</v>
      </c>
      <c r="K50" s="60">
        <v>445714.17500000022</v>
      </c>
      <c r="L50" s="60">
        <v>435916.25500000024</v>
      </c>
      <c r="M50" s="60">
        <v>371100.36750000023</v>
      </c>
      <c r="N50" s="60">
        <v>361377.98000000021</v>
      </c>
      <c r="O50" s="60">
        <v>358137.18250000011</v>
      </c>
      <c r="P50" s="60">
        <v>552584.84750000015</v>
      </c>
      <c r="Q50" s="60">
        <v>581751.99250000017</v>
      </c>
      <c r="R50" s="60">
        <v>591474.37750000018</v>
      </c>
      <c r="S50" s="60">
        <v>656290.26000000024</v>
      </c>
      <c r="T50" s="60">
        <v>666012.64250000042</v>
      </c>
      <c r="U50" s="60">
        <v>669253.43500000052</v>
      </c>
      <c r="V50" s="60">
        <v>510077.40100000059</v>
      </c>
      <c r="W50" s="60">
        <v>486200.99700000061</v>
      </c>
      <c r="X50" s="60">
        <v>478242.19300000067</v>
      </c>
      <c r="Y50" s="60">
        <v>405648.39500000072</v>
      </c>
      <c r="Z50" s="60">
        <v>394759.32700000075</v>
      </c>
      <c r="AA50" s="60">
        <v>391129.63900000078</v>
      </c>
      <c r="AB50" s="60">
        <v>608911.02300000074</v>
      </c>
      <c r="AC50" s="60">
        <v>641578.22700000089</v>
      </c>
      <c r="AD50" s="60">
        <v>652467.30100000103</v>
      </c>
      <c r="AE50" s="60">
        <v>725061.09900000121</v>
      </c>
      <c r="AF50" s="60">
        <v>735950.16700000141</v>
      </c>
      <c r="AG50" s="60">
        <v>739579.85500000161</v>
      </c>
      <c r="AH50" s="60">
        <v>560969.8921200016</v>
      </c>
      <c r="AI50" s="60">
        <v>534178.39924000157</v>
      </c>
      <c r="AJ50" s="60">
        <v>525247.89636000176</v>
      </c>
      <c r="AK50" s="60">
        <v>443942.8442000018</v>
      </c>
      <c r="AL50" s="60">
        <v>431747.08204000181</v>
      </c>
      <c r="AM50" s="60">
        <v>427681.82988000178</v>
      </c>
      <c r="AN50" s="60">
        <v>671596.9755600018</v>
      </c>
      <c r="AO50" s="60">
        <v>708184.25124000176</v>
      </c>
    </row>
    <row r="51" spans="1:41" x14ac:dyDescent="0.2">
      <c r="B51" s="85" t="s">
        <v>78</v>
      </c>
      <c r="E51" s="38"/>
      <c r="F51" s="93">
        <v>559221.87500000012</v>
      </c>
      <c r="G51" s="60">
        <v>559221.87500000012</v>
      </c>
      <c r="H51" s="60">
        <v>559221.87500000012</v>
      </c>
      <c r="I51" s="60">
        <v>363263.55</v>
      </c>
      <c r="J51" s="60">
        <v>363263.55</v>
      </c>
      <c r="K51" s="60">
        <v>363263.55</v>
      </c>
      <c r="L51" s="60">
        <v>298447.66249999998</v>
      </c>
      <c r="M51" s="60">
        <v>298447.66249999998</v>
      </c>
      <c r="N51" s="60">
        <v>298447.66249999998</v>
      </c>
      <c r="O51" s="60">
        <v>492895.32500000001</v>
      </c>
      <c r="P51" s="60">
        <v>492895.32500000001</v>
      </c>
      <c r="Q51" s="60">
        <v>492895.32500000001</v>
      </c>
      <c r="R51" s="60">
        <v>557711.21250000014</v>
      </c>
      <c r="S51" s="60">
        <v>557711.21250000014</v>
      </c>
      <c r="T51" s="60">
        <v>557711.21250000014</v>
      </c>
      <c r="U51" s="60">
        <v>398535.17600000004</v>
      </c>
      <c r="V51" s="60">
        <v>398535.17600000004</v>
      </c>
      <c r="W51" s="60">
        <v>398535.17600000004</v>
      </c>
      <c r="X51" s="60">
        <v>325941.38200000004</v>
      </c>
      <c r="Y51" s="60">
        <v>325941.38200000004</v>
      </c>
      <c r="Z51" s="60">
        <v>325941.38200000004</v>
      </c>
      <c r="AA51" s="60">
        <v>543722.76400000008</v>
      </c>
      <c r="AB51" s="60">
        <v>543722.76400000008</v>
      </c>
      <c r="AC51" s="60">
        <v>543722.76400000008</v>
      </c>
      <c r="AD51" s="60">
        <v>616316.55800000019</v>
      </c>
      <c r="AE51" s="60">
        <v>616316.55800000019</v>
      </c>
      <c r="AF51" s="60">
        <v>616316.55800000019</v>
      </c>
      <c r="AG51" s="60">
        <v>437706.59712000011</v>
      </c>
      <c r="AH51" s="60">
        <v>437706.59712000011</v>
      </c>
      <c r="AI51" s="60">
        <v>437706.59712000011</v>
      </c>
      <c r="AJ51" s="60">
        <v>356401.54784000001</v>
      </c>
      <c r="AK51" s="60">
        <v>356401.54784000001</v>
      </c>
      <c r="AL51" s="60">
        <v>356401.54784000001</v>
      </c>
      <c r="AM51" s="60">
        <v>600316.69568</v>
      </c>
      <c r="AN51" s="60">
        <v>600316.69568</v>
      </c>
      <c r="AO51" s="60">
        <v>600316.69568</v>
      </c>
    </row>
    <row r="52" spans="1:41" x14ac:dyDescent="0.2">
      <c r="B52" s="85" t="s">
        <v>79</v>
      </c>
      <c r="E52" s="38"/>
      <c r="F52" s="93">
        <v>0</v>
      </c>
      <c r="G52" s="60">
        <v>-475338.59</v>
      </c>
      <c r="H52" s="60">
        <v>-531260.78</v>
      </c>
      <c r="I52" s="60">
        <v>-559221.88</v>
      </c>
      <c r="J52" s="60">
        <v>-392657.3</v>
      </c>
      <c r="K52" s="60">
        <v>-373061.47</v>
      </c>
      <c r="L52" s="60">
        <v>-363263.55</v>
      </c>
      <c r="M52" s="60">
        <v>-308170.05</v>
      </c>
      <c r="N52" s="60">
        <v>-301688.46000000002</v>
      </c>
      <c r="O52" s="60">
        <v>-298447.65999999997</v>
      </c>
      <c r="P52" s="60">
        <v>-463728.18</v>
      </c>
      <c r="Q52" s="60">
        <v>-483172.94</v>
      </c>
      <c r="R52" s="60">
        <v>-492895.33</v>
      </c>
      <c r="S52" s="60">
        <v>-547988.82999999996</v>
      </c>
      <c r="T52" s="60">
        <v>-554470.42000000004</v>
      </c>
      <c r="U52" s="60">
        <v>-557711.21</v>
      </c>
      <c r="V52" s="60">
        <v>-422411.58</v>
      </c>
      <c r="W52" s="60">
        <v>-406493.98</v>
      </c>
      <c r="X52" s="60">
        <v>-398535.18</v>
      </c>
      <c r="Y52" s="60">
        <v>-336830.45</v>
      </c>
      <c r="Z52" s="60">
        <v>-329571.07</v>
      </c>
      <c r="AA52" s="60">
        <v>-325941.38</v>
      </c>
      <c r="AB52" s="60">
        <v>-511055.56</v>
      </c>
      <c r="AC52" s="60">
        <v>-532833.68999999994</v>
      </c>
      <c r="AD52" s="60">
        <v>-543722.76</v>
      </c>
      <c r="AE52" s="60">
        <v>-605427.49</v>
      </c>
      <c r="AF52" s="60">
        <v>-612686.87</v>
      </c>
      <c r="AG52" s="60">
        <v>-616316.56000000006</v>
      </c>
      <c r="AH52" s="60">
        <v>-464498.09</v>
      </c>
      <c r="AI52" s="60">
        <v>-446637.1</v>
      </c>
      <c r="AJ52" s="60">
        <v>-437706.6</v>
      </c>
      <c r="AK52" s="60">
        <v>-368597.31</v>
      </c>
      <c r="AL52" s="60">
        <v>-360466.8</v>
      </c>
      <c r="AM52" s="60">
        <v>-356401.55</v>
      </c>
      <c r="AN52" s="60">
        <v>-563729.42000000004</v>
      </c>
      <c r="AO52" s="60">
        <v>-588120.93999999994</v>
      </c>
    </row>
    <row r="53" spans="1:41" x14ac:dyDescent="0.2">
      <c r="B53" s="86" t="s">
        <v>70</v>
      </c>
      <c r="C53" s="82"/>
      <c r="D53" s="82"/>
      <c r="E53" s="91"/>
      <c r="F53" s="95">
        <v>559221.87500000012</v>
      </c>
      <c r="G53" s="80">
        <v>643105.16000000015</v>
      </c>
      <c r="H53" s="80">
        <v>671066.25500000024</v>
      </c>
      <c r="I53" s="80">
        <v>475107.92500000022</v>
      </c>
      <c r="J53" s="80">
        <v>445714.17500000022</v>
      </c>
      <c r="K53" s="80">
        <v>435916.25500000024</v>
      </c>
      <c r="L53" s="80">
        <v>371100.36750000023</v>
      </c>
      <c r="M53" s="80">
        <v>361377.98000000021</v>
      </c>
      <c r="N53" s="80">
        <v>358137.18250000017</v>
      </c>
      <c r="O53" s="80">
        <v>552584.84750000015</v>
      </c>
      <c r="P53" s="80">
        <v>581751.99250000017</v>
      </c>
      <c r="Q53" s="80">
        <v>591474.37750000018</v>
      </c>
      <c r="R53" s="80">
        <v>656290.26000000024</v>
      </c>
      <c r="S53" s="80">
        <v>666012.64250000042</v>
      </c>
      <c r="T53" s="80">
        <v>669253.43500000052</v>
      </c>
      <c r="U53" s="80">
        <v>510077.40100000059</v>
      </c>
      <c r="V53" s="80">
        <v>486200.99700000061</v>
      </c>
      <c r="W53" s="80">
        <v>478242.19300000067</v>
      </c>
      <c r="X53" s="80">
        <v>405648.39500000072</v>
      </c>
      <c r="Y53" s="80">
        <v>394759.32700000075</v>
      </c>
      <c r="Z53" s="80">
        <v>391129.63900000078</v>
      </c>
      <c r="AA53" s="80">
        <v>608911.02300000086</v>
      </c>
      <c r="AB53" s="80">
        <v>641578.22700000089</v>
      </c>
      <c r="AC53" s="80">
        <v>652467.30100000103</v>
      </c>
      <c r="AD53" s="80">
        <v>725061.09900000121</v>
      </c>
      <c r="AE53" s="80">
        <v>735950.16700000141</v>
      </c>
      <c r="AF53" s="80">
        <v>739579.85500000161</v>
      </c>
      <c r="AG53" s="80">
        <v>560969.8921200016</v>
      </c>
      <c r="AH53" s="80">
        <v>534178.39924000169</v>
      </c>
      <c r="AI53" s="80">
        <v>525247.89636000176</v>
      </c>
      <c r="AJ53" s="80">
        <v>443942.8442000018</v>
      </c>
      <c r="AK53" s="80">
        <v>431747.08204000181</v>
      </c>
      <c r="AL53" s="80">
        <v>427681.82988000184</v>
      </c>
      <c r="AM53" s="80">
        <v>671596.9755600018</v>
      </c>
      <c r="AN53" s="80">
        <v>708184.25124000176</v>
      </c>
      <c r="AO53" s="80">
        <v>720380.00692000182</v>
      </c>
    </row>
    <row r="54" spans="1:41" x14ac:dyDescent="0.2">
      <c r="E54" s="38"/>
      <c r="F54" s="93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</row>
    <row r="55" spans="1:41" x14ac:dyDescent="0.2">
      <c r="A55" s="14" t="s">
        <v>80</v>
      </c>
      <c r="E55" s="38"/>
      <c r="F55" s="93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</row>
    <row r="56" spans="1:41" x14ac:dyDescent="0.2">
      <c r="E56" s="38"/>
      <c r="F56" s="93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</row>
    <row r="57" spans="1:41" x14ac:dyDescent="0.2">
      <c r="B57" s="81" t="s">
        <v>81</v>
      </c>
      <c r="C57" s="81"/>
      <c r="D57" s="81"/>
      <c r="E57" s="89"/>
      <c r="F57" s="92" cm="1">
        <f t="array" ref="F57:AO66" xml:space="preserve"> CashFlowλ(
    modelDuration,
    openingAccReceivable,   openingCashReceiptTiming,_xlfn.ANCHORARRAY( AccountsReceivable),
    openingAccountsPayable, openingCashPaymentTiming,_xlfn.ANCHORARRAY( AccountsPayable),
    interest, repayment,
    openingCash
  )</f>
        <v>180000</v>
      </c>
      <c r="G57" s="79">
        <v>727377.5</v>
      </c>
      <c r="H57" s="79">
        <v>580451.46</v>
      </c>
      <c r="I57" s="79">
        <v>612295.82999999996</v>
      </c>
      <c r="J57" s="79">
        <v>477218.47</v>
      </c>
      <c r="K57" s="79">
        <v>420936.24</v>
      </c>
      <c r="L57" s="79">
        <v>387166.9</v>
      </c>
      <c r="M57" s="79">
        <v>329091.87</v>
      </c>
      <c r="N57" s="79">
        <v>304893.93</v>
      </c>
      <c r="O57" s="79">
        <v>290375.18</v>
      </c>
      <c r="P57" s="79">
        <v>464600.28</v>
      </c>
      <c r="Q57" s="79">
        <v>537194.07999999996</v>
      </c>
      <c r="R57" s="79">
        <v>580750.35</v>
      </c>
      <c r="S57" s="79">
        <v>638825.39</v>
      </c>
      <c r="T57" s="79">
        <v>663023.31999999995</v>
      </c>
      <c r="U57" s="79">
        <v>677542.08</v>
      </c>
      <c r="V57" s="79">
        <v>531192.99</v>
      </c>
      <c r="W57" s="79">
        <v>470214.2</v>
      </c>
      <c r="X57" s="79">
        <v>433626.93</v>
      </c>
      <c r="Y57" s="79">
        <v>368582.89</v>
      </c>
      <c r="Z57" s="79">
        <v>341481.21</v>
      </c>
      <c r="AA57" s="79">
        <v>325220.2</v>
      </c>
      <c r="AB57" s="79">
        <v>520352.32</v>
      </c>
      <c r="AC57" s="79">
        <v>601657.36</v>
      </c>
      <c r="AD57" s="79">
        <v>650440.39</v>
      </c>
      <c r="AE57" s="79">
        <v>715484.43</v>
      </c>
      <c r="AF57" s="79">
        <v>742586.12</v>
      </c>
      <c r="AG57" s="79">
        <v>758847.13</v>
      </c>
      <c r="AH57" s="79">
        <v>594936.15</v>
      </c>
      <c r="AI57" s="79">
        <v>526639.91</v>
      </c>
      <c r="AJ57" s="79">
        <v>485662.16</v>
      </c>
      <c r="AK57" s="79">
        <v>412812.84</v>
      </c>
      <c r="AL57" s="79">
        <v>382458.95</v>
      </c>
      <c r="AM57" s="79">
        <v>364246.62</v>
      </c>
      <c r="AN57" s="79">
        <v>582794.59</v>
      </c>
      <c r="AO57" s="79">
        <v>673856.25</v>
      </c>
    </row>
    <row r="58" spans="1:41" x14ac:dyDescent="0.2">
      <c r="E58" s="38"/>
      <c r="F58" s="38" t="str">
        <v/>
      </c>
      <c r="G58" s="5" t="str">
        <v/>
      </c>
      <c r="H58" s="5" t="str">
        <v/>
      </c>
      <c r="I58" s="5" t="str">
        <v/>
      </c>
      <c r="J58" s="5" t="str">
        <v/>
      </c>
      <c r="K58" s="5" t="str">
        <v/>
      </c>
      <c r="L58" s="5" t="str">
        <v/>
      </c>
      <c r="M58" s="5" t="str">
        <v/>
      </c>
      <c r="N58" s="5" t="str">
        <v/>
      </c>
      <c r="O58" s="5" t="str">
        <v/>
      </c>
      <c r="P58" s="5" t="str">
        <v/>
      </c>
      <c r="Q58" s="5" t="str">
        <v/>
      </c>
      <c r="R58" s="5" t="str">
        <v/>
      </c>
      <c r="S58" s="5" t="str">
        <v/>
      </c>
      <c r="T58" s="5" t="str">
        <v/>
      </c>
      <c r="U58" s="5" t="str">
        <v/>
      </c>
      <c r="V58" s="5" t="str">
        <v/>
      </c>
      <c r="W58" s="5" t="str">
        <v/>
      </c>
      <c r="X58" s="5" t="str">
        <v/>
      </c>
      <c r="Y58" s="5" t="str">
        <v/>
      </c>
      <c r="Z58" s="5" t="str">
        <v/>
      </c>
      <c r="AA58" s="5" t="str">
        <v/>
      </c>
      <c r="AB58" s="5" t="str">
        <v/>
      </c>
      <c r="AC58" s="5" t="str">
        <v/>
      </c>
      <c r="AD58" s="5" t="str">
        <v/>
      </c>
      <c r="AE58" s="5" t="str">
        <v/>
      </c>
      <c r="AF58" s="5" t="str">
        <v/>
      </c>
      <c r="AG58" s="5" t="str">
        <v/>
      </c>
      <c r="AH58" s="5" t="str">
        <v/>
      </c>
      <c r="AI58" s="5" t="str">
        <v/>
      </c>
      <c r="AJ58" s="5" t="str">
        <v/>
      </c>
      <c r="AK58" s="5" t="str">
        <v/>
      </c>
      <c r="AL58" s="5" t="str">
        <v/>
      </c>
      <c r="AM58" s="5" t="str">
        <v/>
      </c>
      <c r="AN58" s="5" t="str">
        <v/>
      </c>
      <c r="AO58" s="5" t="str">
        <v/>
      </c>
    </row>
    <row r="59" spans="1:41" x14ac:dyDescent="0.2">
      <c r="B59" s="5" t="s">
        <v>82</v>
      </c>
      <c r="E59" s="38"/>
      <c r="F59" s="93">
        <v>-105000</v>
      </c>
      <c r="G59" s="60">
        <v>-685338.59000000008</v>
      </c>
      <c r="H59" s="60">
        <v>-566260.78</v>
      </c>
      <c r="I59" s="60">
        <v>-559221.88</v>
      </c>
      <c r="J59" s="60">
        <v>-392657.3</v>
      </c>
      <c r="K59" s="60">
        <v>-373061.47</v>
      </c>
      <c r="L59" s="60">
        <v>-363263.55</v>
      </c>
      <c r="M59" s="60">
        <v>-308170.05</v>
      </c>
      <c r="N59" s="60">
        <v>-301688.46000000002</v>
      </c>
      <c r="O59" s="60">
        <v>-298447.65999999997</v>
      </c>
      <c r="P59" s="60">
        <v>-463728.18</v>
      </c>
      <c r="Q59" s="60">
        <v>-483172.94</v>
      </c>
      <c r="R59" s="60">
        <v>-492895.33</v>
      </c>
      <c r="S59" s="60">
        <v>-547988.82999999996</v>
      </c>
      <c r="T59" s="60">
        <v>-554470.42000000004</v>
      </c>
      <c r="U59" s="60">
        <v>-557711.21</v>
      </c>
      <c r="V59" s="60">
        <v>-422411.58</v>
      </c>
      <c r="W59" s="60">
        <v>-406493.98</v>
      </c>
      <c r="X59" s="60">
        <v>-398535.18</v>
      </c>
      <c r="Y59" s="60">
        <v>-336830.45</v>
      </c>
      <c r="Z59" s="60">
        <v>-329571.07</v>
      </c>
      <c r="AA59" s="60">
        <v>-325941.38</v>
      </c>
      <c r="AB59" s="60">
        <v>-511055.56</v>
      </c>
      <c r="AC59" s="60">
        <v>-532833.68999999994</v>
      </c>
      <c r="AD59" s="60">
        <v>-543722.76</v>
      </c>
      <c r="AE59" s="60">
        <v>-605427.49</v>
      </c>
      <c r="AF59" s="60">
        <v>-612686.87</v>
      </c>
      <c r="AG59" s="60">
        <v>-616316.56000000006</v>
      </c>
      <c r="AH59" s="60">
        <v>-464498.09</v>
      </c>
      <c r="AI59" s="60">
        <v>-446637.1</v>
      </c>
      <c r="AJ59" s="60">
        <v>-437706.6</v>
      </c>
      <c r="AK59" s="60">
        <v>-368597.31</v>
      </c>
      <c r="AL59" s="60">
        <v>-360466.8</v>
      </c>
      <c r="AM59" s="60">
        <v>-356401.55</v>
      </c>
      <c r="AN59" s="60">
        <v>-563729.42000000004</v>
      </c>
      <c r="AO59" s="60">
        <v>-588120.93999999994</v>
      </c>
    </row>
    <row r="60" spans="1:41" x14ac:dyDescent="0.2">
      <c r="E60" s="38"/>
      <c r="F60" s="38" t="str">
        <v/>
      </c>
      <c r="G60" s="5" t="str">
        <v/>
      </c>
      <c r="H60" s="5" t="str">
        <v/>
      </c>
      <c r="I60" s="5" t="str">
        <v/>
      </c>
      <c r="J60" s="5" t="str">
        <v/>
      </c>
      <c r="K60" s="5" t="str">
        <v/>
      </c>
      <c r="L60" s="5" t="str">
        <v/>
      </c>
      <c r="M60" s="5" t="str">
        <v/>
      </c>
      <c r="N60" s="5" t="str">
        <v/>
      </c>
      <c r="O60" s="5" t="str">
        <v/>
      </c>
      <c r="P60" s="5" t="str">
        <v/>
      </c>
      <c r="Q60" s="5" t="str">
        <v/>
      </c>
      <c r="R60" s="5" t="str">
        <v/>
      </c>
      <c r="S60" s="5" t="str">
        <v/>
      </c>
      <c r="T60" s="5" t="str">
        <v/>
      </c>
      <c r="U60" s="5" t="str">
        <v/>
      </c>
      <c r="V60" s="5" t="str">
        <v/>
      </c>
      <c r="W60" s="5" t="str">
        <v/>
      </c>
      <c r="X60" s="5" t="str">
        <v/>
      </c>
      <c r="Y60" s="5" t="str">
        <v/>
      </c>
      <c r="Z60" s="5" t="str">
        <v/>
      </c>
      <c r="AA60" s="5" t="str">
        <v/>
      </c>
      <c r="AB60" s="5" t="str">
        <v/>
      </c>
      <c r="AC60" s="5" t="str">
        <v/>
      </c>
      <c r="AD60" s="5" t="str">
        <v/>
      </c>
      <c r="AE60" s="5" t="str">
        <v/>
      </c>
      <c r="AF60" s="5" t="str">
        <v/>
      </c>
      <c r="AG60" s="5" t="str">
        <v/>
      </c>
      <c r="AH60" s="5" t="str">
        <v/>
      </c>
      <c r="AI60" s="5" t="str">
        <v/>
      </c>
      <c r="AJ60" s="5" t="str">
        <v/>
      </c>
      <c r="AK60" s="5" t="str">
        <v/>
      </c>
      <c r="AL60" s="5" t="str">
        <v/>
      </c>
      <c r="AM60" s="5" t="str">
        <v/>
      </c>
      <c r="AN60" s="5" t="str">
        <v/>
      </c>
      <c r="AO60" s="5" t="str">
        <v/>
      </c>
    </row>
    <row r="61" spans="1:41" x14ac:dyDescent="0.2">
      <c r="B61" s="5" t="s">
        <v>83</v>
      </c>
      <c r="E61" s="38"/>
      <c r="F61" s="93">
        <v>-11666.666666666668</v>
      </c>
      <c r="G61" s="60">
        <v>-11666.666666666668</v>
      </c>
      <c r="H61" s="60">
        <v>-11666.666666666668</v>
      </c>
      <c r="I61" s="60">
        <v>-11375</v>
      </c>
      <c r="J61" s="60">
        <v>-11375</v>
      </c>
      <c r="K61" s="60">
        <v>-11083.333333333334</v>
      </c>
      <c r="L61" s="60">
        <v>-11083.333333333334</v>
      </c>
      <c r="M61" s="60">
        <v>-10733.333333333334</v>
      </c>
      <c r="N61" s="60">
        <v>-10733.333333333334</v>
      </c>
      <c r="O61" s="60">
        <v>-10383.333333333334</v>
      </c>
      <c r="P61" s="60">
        <v>-10383.333333333334</v>
      </c>
      <c r="Q61" s="60">
        <v>-10033.333333333334</v>
      </c>
      <c r="R61" s="60">
        <v>-9508.3333333333339</v>
      </c>
      <c r="S61" s="60">
        <v>-9508.3333333333339</v>
      </c>
      <c r="T61" s="60">
        <v>-9158.3333333333339</v>
      </c>
      <c r="U61" s="60">
        <v>-8283.3333333333339</v>
      </c>
      <c r="V61" s="60">
        <v>-8283.3333333333339</v>
      </c>
      <c r="W61" s="60">
        <v>-8283.3333333333339</v>
      </c>
      <c r="X61" s="60">
        <v>-7933.3333333333339</v>
      </c>
      <c r="Y61" s="60">
        <v>-7933.3333333333339</v>
      </c>
      <c r="Z61" s="60">
        <v>-7933.3333333333339</v>
      </c>
      <c r="AA61" s="60">
        <v>-7058.3333333333339</v>
      </c>
      <c r="AB61" s="60">
        <v>-7058.3333333333339</v>
      </c>
      <c r="AC61" s="60">
        <v>-7058.3333333333339</v>
      </c>
      <c r="AD61" s="60">
        <v>-6708.3333333333339</v>
      </c>
      <c r="AE61" s="60">
        <v>-6708.3333333333339</v>
      </c>
      <c r="AF61" s="60">
        <v>-6708.3333333333339</v>
      </c>
      <c r="AG61" s="60">
        <v>-5833.3333333333339</v>
      </c>
      <c r="AH61" s="60">
        <v>-5833.3333333333339</v>
      </c>
      <c r="AI61" s="60">
        <v>-5833.3333333333339</v>
      </c>
      <c r="AJ61" s="60">
        <v>-5833.3333333333339</v>
      </c>
      <c r="AK61" s="60">
        <v>-5833.3333333333339</v>
      </c>
      <c r="AL61" s="60">
        <v>-5833.3333333333339</v>
      </c>
      <c r="AM61" s="60">
        <v>-5833.3333333333339</v>
      </c>
      <c r="AN61" s="60">
        <v>-5833.3333333333339</v>
      </c>
      <c r="AO61" s="60">
        <v>-5833.3333333333339</v>
      </c>
    </row>
    <row r="62" spans="1:41" x14ac:dyDescent="0.2">
      <c r="B62" s="5" t="s">
        <v>84</v>
      </c>
      <c r="E62" s="38"/>
      <c r="F62" s="93">
        <v>0</v>
      </c>
      <c r="G62" s="60">
        <v>0</v>
      </c>
      <c r="H62" s="60">
        <v>-50000</v>
      </c>
      <c r="I62" s="60">
        <v>0</v>
      </c>
      <c r="J62" s="60">
        <v>-50000</v>
      </c>
      <c r="K62" s="60">
        <v>0</v>
      </c>
      <c r="L62" s="60">
        <v>-60000</v>
      </c>
      <c r="M62" s="60">
        <v>0</v>
      </c>
      <c r="N62" s="60">
        <v>-60000</v>
      </c>
      <c r="O62" s="60">
        <v>0</v>
      </c>
      <c r="P62" s="60">
        <v>-60000</v>
      </c>
      <c r="Q62" s="60">
        <v>-90000</v>
      </c>
      <c r="R62" s="60">
        <v>0</v>
      </c>
      <c r="S62" s="60">
        <v>-60000</v>
      </c>
      <c r="T62" s="60">
        <v>-150000</v>
      </c>
      <c r="U62" s="60">
        <v>0</v>
      </c>
      <c r="V62" s="60">
        <v>0</v>
      </c>
      <c r="W62" s="60">
        <v>-60000</v>
      </c>
      <c r="X62" s="60">
        <v>0</v>
      </c>
      <c r="Y62" s="60">
        <v>0</v>
      </c>
      <c r="Z62" s="60">
        <v>-150000</v>
      </c>
      <c r="AA62" s="60">
        <v>0</v>
      </c>
      <c r="AB62" s="60">
        <v>0</v>
      </c>
      <c r="AC62" s="60">
        <v>-60000</v>
      </c>
      <c r="AD62" s="60">
        <v>0</v>
      </c>
      <c r="AE62" s="60">
        <v>0</v>
      </c>
      <c r="AF62" s="60">
        <v>-150000</v>
      </c>
      <c r="AG62" s="60">
        <v>0</v>
      </c>
      <c r="AH62" s="60">
        <v>0</v>
      </c>
      <c r="AI62" s="60">
        <v>0</v>
      </c>
      <c r="AJ62" s="60">
        <v>0</v>
      </c>
      <c r="AK62" s="60">
        <v>0</v>
      </c>
      <c r="AL62" s="60">
        <v>0</v>
      </c>
      <c r="AM62" s="60">
        <v>0</v>
      </c>
      <c r="AN62" s="60">
        <v>0</v>
      </c>
      <c r="AO62" s="60">
        <v>0</v>
      </c>
    </row>
    <row r="63" spans="1:41" x14ac:dyDescent="0.2">
      <c r="E63" s="38"/>
      <c r="F63" s="38" t="str">
        <v/>
      </c>
      <c r="G63" s="5" t="str">
        <v/>
      </c>
      <c r="H63" s="5" t="str">
        <v/>
      </c>
      <c r="I63" s="5" t="str">
        <v/>
      </c>
      <c r="J63" s="5" t="str">
        <v/>
      </c>
      <c r="K63" s="5" t="str">
        <v/>
      </c>
      <c r="L63" s="5" t="str">
        <v/>
      </c>
      <c r="M63" s="5" t="str">
        <v/>
      </c>
      <c r="N63" s="5" t="str">
        <v/>
      </c>
      <c r="O63" s="5" t="str">
        <v/>
      </c>
      <c r="P63" s="5" t="str">
        <v/>
      </c>
      <c r="Q63" s="5" t="str">
        <v/>
      </c>
      <c r="R63" s="5" t="str">
        <v/>
      </c>
      <c r="S63" s="5" t="str">
        <v/>
      </c>
      <c r="T63" s="5" t="str">
        <v/>
      </c>
      <c r="U63" s="5" t="str">
        <v/>
      </c>
      <c r="V63" s="5" t="str">
        <v/>
      </c>
      <c r="W63" s="5" t="str">
        <v/>
      </c>
      <c r="X63" s="5" t="str">
        <v/>
      </c>
      <c r="Y63" s="5" t="str">
        <v/>
      </c>
      <c r="Z63" s="5" t="str">
        <v/>
      </c>
      <c r="AA63" s="5" t="str">
        <v/>
      </c>
      <c r="AB63" s="5" t="str">
        <v/>
      </c>
      <c r="AC63" s="5" t="str">
        <v/>
      </c>
      <c r="AD63" s="5" t="str">
        <v/>
      </c>
      <c r="AE63" s="5" t="str">
        <v/>
      </c>
      <c r="AF63" s="5" t="str">
        <v/>
      </c>
      <c r="AG63" s="5" t="str">
        <v/>
      </c>
      <c r="AH63" s="5" t="str">
        <v/>
      </c>
      <c r="AI63" s="5" t="str">
        <v/>
      </c>
      <c r="AJ63" s="5" t="str">
        <v/>
      </c>
      <c r="AK63" s="5" t="str">
        <v/>
      </c>
      <c r="AL63" s="5" t="str">
        <v/>
      </c>
      <c r="AM63" s="5" t="str">
        <v/>
      </c>
      <c r="AN63" s="5" t="str">
        <v/>
      </c>
      <c r="AO63" s="5" t="str">
        <v/>
      </c>
    </row>
    <row r="64" spans="1:41" x14ac:dyDescent="0.2">
      <c r="B64" s="5" t="s">
        <v>85</v>
      </c>
      <c r="E64" s="38"/>
      <c r="F64" s="93">
        <v>63333.333333333328</v>
      </c>
      <c r="G64" s="60">
        <v>30372.243333333248</v>
      </c>
      <c r="H64" s="60">
        <v>-47475.986666666737</v>
      </c>
      <c r="I64" s="60">
        <v>41698.949999999953</v>
      </c>
      <c r="J64" s="60">
        <v>23186.169999999984</v>
      </c>
      <c r="K64" s="60">
        <v>36791.436666666683</v>
      </c>
      <c r="L64" s="60">
        <v>-47179.983333333301</v>
      </c>
      <c r="M64" s="60">
        <v>10188.486666666673</v>
      </c>
      <c r="N64" s="60">
        <v>-67527.863333333356</v>
      </c>
      <c r="O64" s="60">
        <v>-18455.813333333317</v>
      </c>
      <c r="P64" s="60">
        <v>-69511.233333333294</v>
      </c>
      <c r="Q64" s="60">
        <v>-46012.19333333338</v>
      </c>
      <c r="R64" s="60">
        <v>78346.686666666632</v>
      </c>
      <c r="S64" s="60">
        <v>21328.226666666727</v>
      </c>
      <c r="T64" s="60">
        <v>-50605.433333333422</v>
      </c>
      <c r="U64" s="60">
        <v>111547.53666666667</v>
      </c>
      <c r="V64" s="60">
        <v>100498.07666666665</v>
      </c>
      <c r="W64" s="60">
        <v>-4563.1133333333055</v>
      </c>
      <c r="X64" s="60">
        <v>27158.416666666664</v>
      </c>
      <c r="Y64" s="60">
        <v>23819.106666666667</v>
      </c>
      <c r="Z64" s="60">
        <v>-146023.19333333333</v>
      </c>
      <c r="AA64" s="60">
        <v>-7779.513333333327</v>
      </c>
      <c r="AB64" s="60">
        <v>2238.4266666666754</v>
      </c>
      <c r="AC64" s="60">
        <v>1765.3366666667062</v>
      </c>
      <c r="AD64" s="60">
        <v>100009.29666666668</v>
      </c>
      <c r="AE64" s="60">
        <v>103348.60666666673</v>
      </c>
      <c r="AF64" s="60">
        <v>-26809.083333333328</v>
      </c>
      <c r="AG64" s="60">
        <v>136697.23666666661</v>
      </c>
      <c r="AH64" s="60">
        <v>124604.72666666667</v>
      </c>
      <c r="AI64" s="60">
        <v>74169.476666666727</v>
      </c>
      <c r="AJ64" s="60">
        <v>42122.226666666662</v>
      </c>
      <c r="AK64" s="60">
        <v>38382.196666666692</v>
      </c>
      <c r="AL64" s="60">
        <v>16158.816666666689</v>
      </c>
      <c r="AM64" s="60">
        <v>2011.736666666673</v>
      </c>
      <c r="AN64" s="60">
        <v>13231.836666666592</v>
      </c>
      <c r="AO64" s="60">
        <v>79901.976666666727</v>
      </c>
    </row>
    <row r="65" spans="2:41" x14ac:dyDescent="0.2">
      <c r="E65" s="38"/>
      <c r="F65" s="38" t="str">
        <v/>
      </c>
      <c r="G65" s="5" t="str">
        <v/>
      </c>
      <c r="H65" s="5" t="str">
        <v/>
      </c>
      <c r="I65" s="5" t="str">
        <v/>
      </c>
      <c r="J65" s="5" t="str">
        <v/>
      </c>
      <c r="K65" s="5" t="str">
        <v/>
      </c>
      <c r="L65" s="5" t="str">
        <v/>
      </c>
      <c r="M65" s="5" t="str">
        <v/>
      </c>
      <c r="N65" s="5" t="str">
        <v/>
      </c>
      <c r="O65" s="5" t="str">
        <v/>
      </c>
      <c r="P65" s="5" t="str">
        <v/>
      </c>
      <c r="Q65" s="5" t="str">
        <v/>
      </c>
      <c r="R65" s="5" t="str">
        <v/>
      </c>
      <c r="S65" s="5" t="str">
        <v/>
      </c>
      <c r="T65" s="5" t="str">
        <v/>
      </c>
      <c r="U65" s="5" t="str">
        <v/>
      </c>
      <c r="V65" s="5" t="str">
        <v/>
      </c>
      <c r="W65" s="5" t="str">
        <v/>
      </c>
      <c r="X65" s="5" t="str">
        <v/>
      </c>
      <c r="Y65" s="5" t="str">
        <v/>
      </c>
      <c r="Z65" s="5" t="str">
        <v/>
      </c>
      <c r="AA65" s="5" t="str">
        <v/>
      </c>
      <c r="AB65" s="5" t="str">
        <v/>
      </c>
      <c r="AC65" s="5" t="str">
        <v/>
      </c>
      <c r="AD65" s="5" t="str">
        <v/>
      </c>
      <c r="AE65" s="5" t="str">
        <v/>
      </c>
      <c r="AF65" s="5" t="str">
        <v/>
      </c>
      <c r="AG65" s="5" t="str">
        <v/>
      </c>
      <c r="AH65" s="5" t="str">
        <v/>
      </c>
      <c r="AI65" s="5" t="str">
        <v/>
      </c>
      <c r="AJ65" s="5" t="str">
        <v/>
      </c>
      <c r="AK65" s="5" t="str">
        <v/>
      </c>
      <c r="AL65" s="5" t="str">
        <v/>
      </c>
      <c r="AM65" s="5" t="str">
        <v/>
      </c>
      <c r="AN65" s="5" t="str">
        <v/>
      </c>
      <c r="AO65" s="5" t="str">
        <v/>
      </c>
    </row>
    <row r="66" spans="2:41" x14ac:dyDescent="0.2">
      <c r="B66" s="82" t="s">
        <v>86</v>
      </c>
      <c r="C66" s="82"/>
      <c r="D66" s="82"/>
      <c r="E66" s="99">
        <f xml:space="preserve"> openingCash</f>
        <v>18000</v>
      </c>
      <c r="F66" s="95">
        <v>81333.333333333328</v>
      </c>
      <c r="G66" s="80">
        <v>111705.57666666657</v>
      </c>
      <c r="H66" s="80">
        <v>64229.589999999836</v>
      </c>
      <c r="I66" s="80">
        <v>105928.53999999979</v>
      </c>
      <c r="J66" s="80">
        <v>129114.70999999977</v>
      </c>
      <c r="K66" s="80">
        <v>165906.14666666646</v>
      </c>
      <c r="L66" s="80">
        <v>118726.16333333316</v>
      </c>
      <c r="M66" s="80">
        <v>128914.64999999983</v>
      </c>
      <c r="N66" s="80">
        <v>61386.786666666478</v>
      </c>
      <c r="O66" s="80">
        <v>42930.973333333161</v>
      </c>
      <c r="P66" s="80">
        <v>-26580.260000000133</v>
      </c>
      <c r="Q66" s="80">
        <v>-72592.453333333513</v>
      </c>
      <c r="R66" s="80">
        <v>5754.2333333331189</v>
      </c>
      <c r="S66" s="80">
        <v>27082.459999999846</v>
      </c>
      <c r="T66" s="80">
        <v>-23522.973333333575</v>
      </c>
      <c r="U66" s="80">
        <v>88024.563333333092</v>
      </c>
      <c r="V66" s="80">
        <v>188522.63999999972</v>
      </c>
      <c r="W66" s="80">
        <v>183959.52666666641</v>
      </c>
      <c r="X66" s="80">
        <v>211117.94333333307</v>
      </c>
      <c r="Y66" s="80">
        <v>234937.04999999973</v>
      </c>
      <c r="Z66" s="80">
        <v>88913.856666666397</v>
      </c>
      <c r="AA66" s="80">
        <v>81134.343333333076</v>
      </c>
      <c r="AB66" s="80">
        <v>83372.769999999757</v>
      </c>
      <c r="AC66" s="80">
        <v>85138.106666666456</v>
      </c>
      <c r="AD66" s="80">
        <v>185147.40333333315</v>
      </c>
      <c r="AE66" s="80">
        <v>288496.00999999989</v>
      </c>
      <c r="AF66" s="80">
        <v>261686.92666666658</v>
      </c>
      <c r="AG66" s="80">
        <v>398384.16333333321</v>
      </c>
      <c r="AH66" s="80">
        <v>522988.8899999999</v>
      </c>
      <c r="AI66" s="80">
        <v>597158.36666666658</v>
      </c>
      <c r="AJ66" s="80">
        <v>639280.59333333327</v>
      </c>
      <c r="AK66" s="80">
        <v>677662.78999999992</v>
      </c>
      <c r="AL66" s="80">
        <v>693821.60666666657</v>
      </c>
      <c r="AM66" s="80">
        <v>695833.34333333327</v>
      </c>
      <c r="AN66" s="80">
        <v>709065.17999999982</v>
      </c>
      <c r="AO66" s="80">
        <v>788967.1566666665</v>
      </c>
    </row>
  </sheetData>
  <dataValidations count="1">
    <dataValidation type="list" allowBlank="1" showInputMessage="1" showErrorMessage="1" sqref="D13" xr:uid="{1581ED55-18B0-4E2F-9CF6-6E95623F2512}">
      <formula1>"TRUE,FALSE"</formula1>
    </dataValidation>
  </dataValidations>
  <pageMargins left="0.70000000000000007" right="0.70000000000000007" top="0.75" bottom="0.75" header="0.30000000000000004" footer="0.30000000000000004"/>
  <pageSetup paperSize="9" fitToWidth="0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14E52-2225-48A2-8672-B05699D955AB}">
  <dimension ref="A1:Q16"/>
  <sheetViews>
    <sheetView showGridLines="0" workbookViewId="0">
      <selection activeCell="D26" sqref="D26"/>
    </sheetView>
  </sheetViews>
  <sheetFormatPr defaultRowHeight="12.75" x14ac:dyDescent="0.2"/>
  <cols>
    <col min="1" max="1" width="4.5703125" customWidth="1"/>
    <col min="2" max="4" width="9.7109375" bestFit="1" customWidth="1"/>
    <col min="6" max="6" width="19.140625" bestFit="1" customWidth="1"/>
  </cols>
  <sheetData>
    <row r="1" spans="1:17" s="69" customFormat="1" ht="26.25" x14ac:dyDescent="0.2">
      <c r="A1" s="68" t="s">
        <v>106</v>
      </c>
    </row>
    <row r="3" spans="1:17" x14ac:dyDescent="0.2">
      <c r="A3" s="70" t="s">
        <v>108</v>
      </c>
      <c r="B3" s="67" t="s">
        <v>102</v>
      </c>
      <c r="C3" s="67" t="s">
        <v>103</v>
      </c>
      <c r="D3" s="67" t="s">
        <v>107</v>
      </c>
    </row>
    <row r="4" spans="1:17" x14ac:dyDescent="0.2">
      <c r="A4" cm="1">
        <f t="array" ref="A4:A12">_xlfn.SEQUENCE(9)</f>
        <v>1</v>
      </c>
      <c r="B4" s="62">
        <f>Model!I19</f>
        <v>387166.90133333328</v>
      </c>
      <c r="C4" s="62">
        <v>363878.66666666669</v>
      </c>
      <c r="D4" t="s">
        <v>87</v>
      </c>
    </row>
    <row r="5" spans="1:17" x14ac:dyDescent="0.2">
      <c r="A5">
        <v>2</v>
      </c>
      <c r="B5" s="62">
        <f>Model!AF53</f>
        <v>739579.85500000161</v>
      </c>
      <c r="C5" s="62">
        <v>771673.96800000046</v>
      </c>
      <c r="D5" t="s">
        <v>88</v>
      </c>
    </row>
    <row r="6" spans="1:17" x14ac:dyDescent="0.2">
      <c r="A6">
        <v>3</v>
      </c>
      <c r="B6" s="62">
        <f>-SUM(Model!F22:AO22)</f>
        <v>3858297.5999999992</v>
      </c>
      <c r="C6" s="62">
        <v>3858297.5999999992</v>
      </c>
      <c r="D6" t="s">
        <v>87</v>
      </c>
    </row>
    <row r="7" spans="1:17" x14ac:dyDescent="0.2">
      <c r="A7">
        <v>4</v>
      </c>
      <c r="B7" s="62">
        <f>SUM(Model!I35:T35)</f>
        <v>125358.33333333331</v>
      </c>
      <c r="C7" s="62">
        <v>125358.33333333331</v>
      </c>
      <c r="D7" t="s">
        <v>89</v>
      </c>
    </row>
    <row r="8" spans="1:17" x14ac:dyDescent="0.2">
      <c r="A8">
        <v>5</v>
      </c>
      <c r="B8" s="63" cm="1">
        <f t="array" ref="B8">_xlfn.XLOOKUP(TRUE,Model!F66:AO66&lt;0,Model!F8:AO8)</f>
        <v>41882</v>
      </c>
      <c r="C8" s="63">
        <v>41820</v>
      </c>
      <c r="D8" t="s">
        <v>89</v>
      </c>
    </row>
    <row r="9" spans="1:17" x14ac:dyDescent="0.2">
      <c r="A9">
        <v>6</v>
      </c>
      <c r="B9" t="str">
        <f>_xlfn.LET(_xlpm.d,_xlfn.XLOOKUP(-10^7,Model!F66:AO66,Model!F8:AO8,,1),"Q"&amp;ROUNDUP(MONTH(_xlpm.d)/3,0)&amp;"-"&amp;YEAR(_xlpm.d))</f>
        <v>Q3-2014</v>
      </c>
      <c r="C9" t="s">
        <v>104</v>
      </c>
      <c r="D9" t="s">
        <v>87</v>
      </c>
      <c r="F9" s="67" t="s">
        <v>105</v>
      </c>
    </row>
    <row r="10" spans="1:17" ht="18.75" x14ac:dyDescent="0.3">
      <c r="A10">
        <v>7</v>
      </c>
      <c r="B10" s="62">
        <f>G15</f>
        <v>-592042.60686389287</v>
      </c>
      <c r="C10" s="62">
        <v>580452.5384615385</v>
      </c>
      <c r="D10" t="s">
        <v>88</v>
      </c>
      <c r="F10" t="s">
        <v>90</v>
      </c>
      <c r="G10" s="62">
        <f>Model!E39</f>
        <v>600000</v>
      </c>
      <c r="Q10" s="76"/>
    </row>
    <row r="11" spans="1:17" x14ac:dyDescent="0.2">
      <c r="A11">
        <v>8</v>
      </c>
      <c r="B11" s="64">
        <f>SUM(Model!U25:AF25)/SUM(Model!U35:AF35)</f>
        <v>8.1251395486381348</v>
      </c>
      <c r="C11" s="64">
        <v>1.2270194552529163</v>
      </c>
      <c r="D11" t="s">
        <v>87</v>
      </c>
      <c r="F11" t="s">
        <v>91</v>
      </c>
      <c r="G11" s="62">
        <f>SUM(Model!F19:N19)</f>
        <v>3869513.7320000008</v>
      </c>
    </row>
    <row r="12" spans="1:17" x14ac:dyDescent="0.2">
      <c r="A12">
        <v>9</v>
      </c>
      <c r="B12" s="62">
        <f>G26</f>
        <v>0</v>
      </c>
      <c r="C12" s="62">
        <v>261686.93741600116</v>
      </c>
      <c r="D12" t="s">
        <v>89</v>
      </c>
      <c r="F12" t="s">
        <v>92</v>
      </c>
      <c r="G12">
        <f>Model!N8-Model!E8</f>
        <v>41820</v>
      </c>
    </row>
    <row r="13" spans="1:17" x14ac:dyDescent="0.2">
      <c r="F13" t="s">
        <v>94</v>
      </c>
      <c r="G13">
        <v>43</v>
      </c>
    </row>
    <row r="14" spans="1:17" x14ac:dyDescent="0.2">
      <c r="F14" t="s">
        <v>93</v>
      </c>
      <c r="G14" s="62">
        <f>G11/G12*G13</f>
        <v>3978.6965680535636</v>
      </c>
    </row>
    <row r="15" spans="1:17" x14ac:dyDescent="0.2">
      <c r="F15" t="s">
        <v>95</v>
      </c>
      <c r="G15" s="62">
        <f>2*G14-G10</f>
        <v>-592042.60686389287</v>
      </c>
    </row>
    <row r="16" spans="1:17" x14ac:dyDescent="0.2">
      <c r="F16" t="s">
        <v>96</v>
      </c>
      <c r="G16" s="62">
        <f>AVERAGE(G15,G10)-G14</f>
        <v>0</v>
      </c>
    </row>
  </sheetData>
  <conditionalFormatting sqref="Q10">
    <cfRule type="expression" dxfId="0" priority="1">
      <formula>ISNUMBER(Q10)*ISBLANK(Q11)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397EF-A224-4F4B-9DE3-AF8D6B876464}">
  <dimension ref="A1:E3"/>
  <sheetViews>
    <sheetView workbookViewId="0"/>
  </sheetViews>
  <sheetFormatPr defaultRowHeight="12.75" x14ac:dyDescent="0.2"/>
  <sheetData>
    <row r="1" spans="1:5" x14ac:dyDescent="0.2">
      <c r="A1">
        <f>SUM(,)</f>
        <v>0</v>
      </c>
      <c r="B1" t="e" cm="1" vm="1">
        <f t="array" aca="1" ref="B1" ca="1">{1,2;3,4}</f>
        <v>#VALUE!</v>
      </c>
      <c r="C1">
        <f>LEN("abc")</f>
        <v>3</v>
      </c>
      <c r="D1">
        <f>SUM(1)</f>
        <v>1</v>
      </c>
      <c r="E1">
        <f>1.5</f>
        <v>1.5</v>
      </c>
    </row>
    <row r="2" spans="1:5" x14ac:dyDescent="0.2">
      <c r="A2" s="75">
        <v>37653</v>
      </c>
    </row>
    <row r="3" spans="1:5" x14ac:dyDescent="0.2">
      <c r="A3" t="str">
        <f>DOLLAR(1,0)</f>
        <v>£1</v>
      </c>
      <c r="B3" t="str">
        <f>ADDRESS(1,1,2,0)</f>
        <v>R1C[1]</v>
      </c>
      <c r="C3" t="str">
        <f>FIXED(1E+21, 0, FALSE)</f>
        <v>1,000,000,000,000,000,000,000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Cj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CF595B99-88F8-4CFF-896C-C6DF7E473B26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40</vt:i4>
      </vt:variant>
    </vt:vector>
  </HeadingPairs>
  <TitlesOfParts>
    <vt:vector size="44" baseType="lpstr">
      <vt:lpstr>Read me</vt:lpstr>
      <vt:lpstr>Assumptions</vt:lpstr>
      <vt:lpstr>Model</vt:lpstr>
      <vt:lpstr>Q&amp;A</vt:lpstr>
      <vt:lpstr>AccountsPayable</vt:lpstr>
      <vt:lpstr>AccountsReceivable</vt:lpstr>
      <vt:lpstr>assets</vt:lpstr>
      <vt:lpstr>baseIndirectCosts</vt:lpstr>
      <vt:lpstr>baseUnitsSold</vt:lpstr>
      <vt:lpstr>CAPEX</vt:lpstr>
      <vt:lpstr>cashPaymentTiming</vt:lpstr>
      <vt:lpstr>cashReceiptTiming</vt:lpstr>
      <vt:lpstr>contibutionMargin</vt:lpstr>
      <vt:lpstr>debtAmortisationAmount</vt:lpstr>
      <vt:lpstr>debtAmortisationDate</vt:lpstr>
      <vt:lpstr>debtFacilityA</vt:lpstr>
      <vt:lpstr>debtSchedule</vt:lpstr>
      <vt:lpstr>depreciationMonthly</vt:lpstr>
      <vt:lpstr>DeprRate</vt:lpstr>
      <vt:lpstr>directCashFlows</vt:lpstr>
      <vt:lpstr>incomeStatement</vt:lpstr>
      <vt:lpstr>indirectCostGrowth</vt:lpstr>
      <vt:lpstr>interestRate</vt:lpstr>
      <vt:lpstr>modelDuration</vt:lpstr>
      <vt:lpstr>modelStart</vt:lpstr>
      <vt:lpstr>netCashFlow</vt:lpstr>
      <vt:lpstr>openingAccountsPayable</vt:lpstr>
      <vt:lpstr>openingAccReceivable</vt:lpstr>
      <vt:lpstr>openingAPBalance</vt:lpstr>
      <vt:lpstr>openingARBalance</vt:lpstr>
      <vt:lpstr>openingCash</vt:lpstr>
      <vt:lpstr>openingCashPaymentTiming</vt:lpstr>
      <vt:lpstr>openingCashReceiptTiming</vt:lpstr>
      <vt:lpstr>PPE</vt:lpstr>
      <vt:lpstr>quarterlySeasonality</vt:lpstr>
      <vt:lpstr>salesGrowth</vt:lpstr>
      <vt:lpstr>scenarioEffectiveDate</vt:lpstr>
      <vt:lpstr>ScenarioPriceIncrease</vt:lpstr>
      <vt:lpstr>ScenarioVolumeDecrease</vt:lpstr>
      <vt:lpstr>timing</vt:lpstr>
      <vt:lpstr>unitDirectCosts</vt:lpstr>
      <vt:lpstr>UnitSales</vt:lpstr>
      <vt:lpstr>unitSalesPrice</vt:lpstr>
      <vt:lpstr>variant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2013-11-06T14:42:19Z</dcterms:created>
  <dcterms:modified xsi:type="dcterms:W3CDTF">2023-03-28T21:49:40Z</dcterms:modified>
</cp:coreProperties>
</file>