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2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rosario\Desktop\mtc\"/>
    </mc:Choice>
  </mc:AlternateContent>
  <bookViews>
    <workbookView minimized="1" xWindow="0" yWindow="0" windowWidth="8730" windowHeight="5625"/>
  </bookViews>
  <sheets>
    <sheet name="Hoja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Y7" i="1" l="1"/>
  <c r="BG7" i="1" l="1"/>
  <c r="BG8" i="1" l="1"/>
  <c r="CJ15" i="1" l="1"/>
  <c r="CI15" i="1"/>
  <c r="CC15" i="1"/>
  <c r="BZ15" i="1"/>
  <c r="BY15" i="1"/>
  <c r="BS15" i="1"/>
  <c r="CJ9" i="1"/>
  <c r="CI9" i="1"/>
  <c r="CH9" i="1"/>
  <c r="BZ9" i="1"/>
  <c r="BY9" i="1"/>
  <c r="BX9" i="1"/>
  <c r="CJ8" i="1"/>
  <c r="CI8" i="1"/>
  <c r="CH8" i="1"/>
  <c r="BZ8" i="1"/>
  <c r="BY8" i="1"/>
  <c r="BX8" i="1"/>
  <c r="R8" i="1"/>
  <c r="Q8" i="1"/>
  <c r="CJ7" i="1"/>
  <c r="CI7" i="1"/>
  <c r="CH7" i="1"/>
  <c r="CD7" i="1"/>
  <c r="CA7" i="1"/>
  <c r="BZ7" i="1"/>
  <c r="BY7" i="1"/>
  <c r="BX7" i="1"/>
  <c r="BT7" i="1"/>
  <c r="BS7" i="1"/>
  <c r="BQ7" i="1"/>
  <c r="X7" i="1"/>
  <c r="X8" i="1" s="1"/>
  <c r="AK7" i="1"/>
  <c r="AJ7" i="1"/>
  <c r="AP7" i="1" l="1"/>
  <c r="AQ7" i="1"/>
  <c r="AR7" i="1" s="1"/>
  <c r="BN7" i="1" s="1"/>
  <c r="BN8" i="1" s="1"/>
  <c r="AL7" i="1"/>
  <c r="AT7" i="1"/>
  <c r="CC7" i="1"/>
  <c r="DF7" i="1"/>
  <c r="BO7" i="1"/>
  <c r="BO8" i="1" s="1"/>
  <c r="DG7" i="1"/>
  <c r="DE7" i="1"/>
  <c r="DH7" i="1"/>
  <c r="BA7" i="1"/>
  <c r="CM7" i="1" s="1"/>
  <c r="CY7" i="1" l="1"/>
  <c r="CY8" i="1" s="1"/>
  <c r="AG7" i="1"/>
  <c r="AG8" i="1" s="1"/>
  <c r="AR8" i="1"/>
  <c r="AH7" i="1"/>
  <c r="AH8" i="1" s="1"/>
  <c r="AO7" i="1"/>
  <c r="W7" i="1"/>
  <c r="V7" i="1" s="1"/>
  <c r="U7" i="1" s="1"/>
  <c r="AS7" i="1"/>
  <c r="BB7" i="1"/>
  <c r="CN7" i="1" s="1"/>
  <c r="CO7" i="1" s="1"/>
  <c r="CO8" i="1" s="1"/>
  <c r="BD7" i="1"/>
  <c r="BD8" i="1" s="1"/>
  <c r="CU7" i="1"/>
  <c r="CU8" i="1" s="1"/>
  <c r="CS7" i="1"/>
  <c r="CS8" i="1" s="1"/>
  <c r="CR7" i="1"/>
  <c r="CR8" i="1" s="1"/>
  <c r="CP7" i="1"/>
  <c r="CP8" i="1" s="1"/>
  <c r="AT8" i="1"/>
  <c r="AU7" i="1"/>
  <c r="AX7" i="1" s="1"/>
  <c r="BI7" i="1"/>
  <c r="BI8" i="1" s="1"/>
  <c r="AM7" i="1"/>
  <c r="CW7" i="1"/>
  <c r="CW8" i="1" s="1"/>
  <c r="CQ7" i="1" l="1"/>
  <c r="CQ8" i="1" s="1"/>
  <c r="BJ7" i="1"/>
  <c r="BJ8" i="1" s="1"/>
  <c r="CZ7" i="1"/>
  <c r="CZ8" i="1" s="1"/>
  <c r="CX7" i="1"/>
  <c r="AS8" i="1"/>
  <c r="BK7" i="1"/>
  <c r="BK8" i="1" s="1"/>
  <c r="AN7" i="1"/>
  <c r="CV7" i="1" s="1"/>
  <c r="CV8" i="1" s="1"/>
  <c r="BL7" i="1"/>
  <c r="BL8" i="1" s="1"/>
  <c r="CT7" i="1"/>
  <c r="CT8" i="1" s="1"/>
  <c r="DB7" i="1"/>
  <c r="DB8" i="1" s="1"/>
  <c r="DA7" i="1"/>
  <c r="DA8" i="1" s="1"/>
  <c r="AF7" i="1"/>
  <c r="AF8" i="1" s="1"/>
  <c r="BC7" i="1"/>
  <c r="W8" i="1"/>
  <c r="BM7" i="1"/>
  <c r="BM8" i="1" s="1"/>
  <c r="BE7" i="1"/>
  <c r="BE8" i="1" s="1"/>
  <c r="BF7" i="1"/>
  <c r="O7" i="1"/>
  <c r="V8" i="1"/>
  <c r="AX8" i="1"/>
  <c r="BH7" i="1" l="1"/>
  <c r="AZ7" i="1" s="1"/>
  <c r="AZ8" i="1" s="1"/>
  <c r="DC7" i="1"/>
  <c r="DC8" i="1" s="1"/>
  <c r="CX8" i="1"/>
  <c r="BC8" i="1"/>
  <c r="U8" i="1"/>
  <c r="BF8" i="1"/>
  <c r="DD7" i="1"/>
  <c r="O8" i="1"/>
  <c r="BH8" i="1" l="1"/>
  <c r="AD7" i="1" l="1"/>
  <c r="AD8" i="1" s="1"/>
  <c r="AY8" i="1"/>
  <c r="AE7" i="1"/>
  <c r="AE8" i="1" s="1"/>
  <c r="AC7" i="1" l="1"/>
  <c r="AB7" i="1" s="1"/>
  <c r="AB8" i="1" s="1"/>
  <c r="AC8" i="1"/>
  <c r="AA7" i="1" l="1"/>
  <c r="Z7" i="1" s="1"/>
  <c r="AA8" i="1" l="1"/>
  <c r="N7" i="1"/>
  <c r="N8" i="1" s="1"/>
  <c r="Z8" i="1"/>
  <c r="T7" i="1"/>
  <c r="M7" i="1"/>
  <c r="CE7" i="1" l="1"/>
  <c r="AV7" i="1"/>
  <c r="T8" i="1"/>
  <c r="L7" i="1"/>
  <c r="BU7" i="1"/>
  <c r="M8" i="1"/>
  <c r="M1" i="1" l="1"/>
  <c r="M2" i="1"/>
  <c r="T2" i="1"/>
  <c r="M3" i="1"/>
  <c r="T1" i="1"/>
  <c r="BU8" i="1" l="1"/>
  <c r="CE8" i="1"/>
</calcChain>
</file>

<file path=xl/comments1.xml><?xml version="1.0" encoding="utf-8"?>
<comments xmlns="http://schemas.openxmlformats.org/spreadsheetml/2006/main">
  <authors>
    <author>René Lopez</author>
  </authors>
  <commentList>
    <comment ref="A5" authorId="0" shapeId="0">
      <text>
        <r>
          <rPr>
            <b/>
            <sz val="9"/>
            <color indexed="81"/>
            <rFont val="Tahoma"/>
            <family val="2"/>
          </rPr>
          <t>René Lopez:</t>
        </r>
        <r>
          <rPr>
            <sz val="9"/>
            <color indexed="81"/>
            <rFont val="Tahoma"/>
            <family val="2"/>
          </rPr>
          <t xml:space="preserve">
FILL JUST THIS AREA + TAB.
SOLO RELLENAR ÉSTAS CASILLAS + TAB.</t>
        </r>
      </text>
    </comment>
  </commentList>
</comments>
</file>

<file path=xl/sharedStrings.xml><?xml version="1.0" encoding="utf-8"?>
<sst xmlns="http://schemas.openxmlformats.org/spreadsheetml/2006/main" count="221" uniqueCount="175">
  <si>
    <t>FRONT ROW HURRICANE SHUTTERS</t>
  </si>
  <si>
    <t>Job Code</t>
  </si>
  <si>
    <t>ABC12</t>
  </si>
  <si>
    <t>Unit</t>
  </si>
  <si>
    <t>SET</t>
  </si>
  <si>
    <t>CLIENTE / CUSTOMER</t>
  </si>
  <si>
    <t xml:space="preserve">Job Item </t>
  </si>
  <si>
    <t>A</t>
  </si>
  <si>
    <t>(+) STORAGE RACK</t>
  </si>
  <si>
    <t>DOMICILIO/ ADDRESS</t>
  </si>
  <si>
    <t>Sales Rep</t>
  </si>
  <si>
    <t>FABRICATION LABOR</t>
  </si>
  <si>
    <t>Meters</t>
  </si>
  <si>
    <t>Inch</t>
  </si>
  <si>
    <t>FECHA CÁLCULO:</t>
  </si>
  <si>
    <t>PER SCREW</t>
  </si>
  <si>
    <t>PROFIT STD.</t>
  </si>
  <si>
    <t>PER FT</t>
  </si>
  <si>
    <t>PER PANEL</t>
  </si>
  <si>
    <t>SQ. FOOT</t>
  </si>
  <si>
    <t>LN. FOOT</t>
  </si>
  <si>
    <t>TRAMO</t>
  </si>
  <si>
    <t>Tubo</t>
  </si>
  <si>
    <t>EACH PR.</t>
  </si>
  <si>
    <t>LEVANTAMIENTO</t>
  </si>
  <si>
    <t>PANELS</t>
  </si>
  <si>
    <t>RETAIL</t>
  </si>
  <si>
    <t>Description</t>
  </si>
  <si>
    <t>Price</t>
  </si>
  <si>
    <t>ID CODE</t>
  </si>
  <si>
    <t>AREA</t>
  </si>
  <si>
    <t>LOCATION</t>
  </si>
  <si>
    <t>Beach Front (x)</t>
  </si>
  <si>
    <t xml:space="preserve">Outside       (x) </t>
  </si>
  <si>
    <t>ARCH(x)</t>
  </si>
  <si>
    <t>WIDTH (INCH)</t>
  </si>
  <si>
    <t>HEIGHT (INCH)</t>
  </si>
  <si>
    <t>INCH/METER TO INCH WIDTH</t>
  </si>
  <si>
    <t>INCH/METER TO INCH HEIGHT</t>
  </si>
  <si>
    <t>Perimeter ALUM Linear ft</t>
  </si>
  <si>
    <t>Perimeter ALUM linear foot + 15%</t>
  </si>
  <si>
    <t>WIDTH</t>
  </si>
  <si>
    <t>HEIGHT</t>
  </si>
  <si>
    <t>PANELS QUANTITIES CALC.</t>
  </si>
  <si>
    <t>PANELS QTY</t>
  </si>
  <si>
    <t>H POST QTY</t>
  </si>
  <si>
    <t>PLASCORE SQFT</t>
  </si>
  <si>
    <t>PLASCORE SQFT + 5% WASTE</t>
  </si>
  <si>
    <t>($) PER PLASCORE SQFT</t>
  </si>
  <si>
    <t>RETAIL TOTAL PRICE (SALES PRICE)</t>
  </si>
  <si>
    <t>RETAIL FABRICATION PRICE (SALES PRICE)</t>
  </si>
  <si>
    <t>TOTAL INSTALLATION</t>
  </si>
  <si>
    <t xml:space="preserve">SPECIAL </t>
  </si>
  <si>
    <t>INSTALLATION PROFIT</t>
  </si>
  <si>
    <t>SCAFFOLDING IF NECCESARY</t>
  </si>
  <si>
    <t>WHOLESALE FABRICATION PRICE</t>
  </si>
  <si>
    <t>PROFIT</t>
  </si>
  <si>
    <t>PREPPING</t>
  </si>
  <si>
    <t>DESIGN</t>
  </si>
  <si>
    <t>PLASCORE COST</t>
  </si>
  <si>
    <t>3M TAPE COST</t>
  </si>
  <si>
    <t>Height Linear FT</t>
  </si>
  <si>
    <t>QTY</t>
  </si>
  <si>
    <t>H2 -TRACK COST</t>
  </si>
  <si>
    <t>H3 - TRACK COST</t>
  </si>
  <si>
    <t>2" X 2" X 3/16" ANGLE COST</t>
  </si>
  <si>
    <t>3" X 3" X 1/4" ANGLE COST</t>
  </si>
  <si>
    <t>EMPAQUE ALUMINUM COST</t>
  </si>
  <si>
    <t>INSERTS COST</t>
  </si>
  <si>
    <t>SHORT SCREWS 1 1/2"</t>
  </si>
  <si>
    <t>LONG SCREW 2"</t>
  </si>
  <si>
    <t>STICKERS COST</t>
  </si>
  <si>
    <t>TAPITAS COST</t>
  </si>
  <si>
    <t>Fabrication</t>
  </si>
  <si>
    <t>SAP</t>
  </si>
  <si>
    <t>QTY3</t>
  </si>
  <si>
    <t>Retail</t>
  </si>
  <si>
    <t>SAP3</t>
  </si>
  <si>
    <t>SAP2</t>
  </si>
  <si>
    <t>UNIT</t>
  </si>
  <si>
    <t xml:space="preserve">Job Code </t>
  </si>
  <si>
    <t>Job ID</t>
  </si>
  <si>
    <t>CODE</t>
  </si>
  <si>
    <t xml:space="preserve">CODE 2 </t>
  </si>
  <si>
    <t>Description2</t>
  </si>
  <si>
    <t>QTY2</t>
  </si>
  <si>
    <t>Retail price</t>
  </si>
  <si>
    <t>SAP7</t>
  </si>
  <si>
    <t>SAP8</t>
  </si>
  <si>
    <t>UNIT2</t>
  </si>
  <si>
    <t>JOB CODE</t>
  </si>
  <si>
    <t>JOB ID2</t>
  </si>
  <si>
    <t xml:space="preserve">Plascore </t>
  </si>
  <si>
    <t>Height linear FT2</t>
  </si>
  <si>
    <t>H Posts</t>
  </si>
  <si>
    <t>8 FOOT H2 - TRACK QTY</t>
  </si>
  <si>
    <t>9 FOOT H2 - TRACK QTY</t>
  </si>
  <si>
    <t>10 FOOT H2 -TRACK QTY</t>
  </si>
  <si>
    <t>11 FOOT H3 -TRACK QTY</t>
  </si>
  <si>
    <t>12 FOOT H3 -TRACK QTY</t>
  </si>
  <si>
    <t>13 FOOT H3 -TRACK QTY</t>
  </si>
  <si>
    <t>14 FOOT H3 - TRACK COST</t>
  </si>
  <si>
    <t>108lnft 3m Rolls</t>
  </si>
  <si>
    <t xml:space="preserve">EMPAQUE ALUMINUM COST </t>
  </si>
  <si>
    <t>INSERTS QTY</t>
  </si>
  <si>
    <t>1 1/2" SCREWS</t>
  </si>
  <si>
    <t>2" SCREWS QTY</t>
  </si>
  <si>
    <t>STICKERS QTY</t>
  </si>
  <si>
    <t>TAPITAS QTY</t>
  </si>
  <si>
    <t>Width 1</t>
  </si>
  <si>
    <t>width 2</t>
  </si>
  <si>
    <t>Height 1</t>
  </si>
  <si>
    <t>Height 2</t>
  </si>
  <si>
    <t>S00001</t>
  </si>
  <si>
    <t xml:space="preserve">Storage Rack </t>
  </si>
  <si>
    <t>1</t>
  </si>
  <si>
    <t>Storage Rack</t>
  </si>
  <si>
    <t>NA</t>
  </si>
  <si>
    <t>Extra Vents</t>
  </si>
  <si>
    <t>8ft H2</t>
  </si>
  <si>
    <t>9ft H2</t>
  </si>
  <si>
    <t>10ft H2</t>
  </si>
  <si>
    <t>11ft H3</t>
  </si>
  <si>
    <t>12ft H3</t>
  </si>
  <si>
    <t>13ft H3</t>
  </si>
  <si>
    <t>14ft H3</t>
  </si>
  <si>
    <t>108Ft Rolls</t>
  </si>
  <si>
    <t>32ft Roll</t>
  </si>
  <si>
    <t>INSERTS</t>
  </si>
  <si>
    <t>1 1/2 SCREWS</t>
  </si>
  <si>
    <t>2 in SCREWS</t>
  </si>
  <si>
    <t>STICKERS</t>
  </si>
  <si>
    <t>TAPITAS</t>
  </si>
  <si>
    <t>Installation / Spanish</t>
  </si>
  <si>
    <t>Installation / English</t>
  </si>
  <si>
    <t>S00002</t>
  </si>
  <si>
    <t>ALUMUNUM COST</t>
  </si>
  <si>
    <t>HARDWARE COST</t>
  </si>
  <si>
    <t>TOTAL INSTALLATION2</t>
  </si>
  <si>
    <t>RETAIL FABRICATION PRICE (SALES PRICE)2</t>
  </si>
  <si>
    <t>TOTAL FABRICATION LABOR
(PREP + DESIGN)</t>
  </si>
  <si>
    <t>TOTAL MATERIALS (PLASCORE + ALUMN + HARDWARE)</t>
  </si>
  <si>
    <t>ARCH FEE 
(25% FEE)</t>
  </si>
  <si>
    <t>UNIT COST  (MATERIALS + FABRICATION)</t>
  </si>
  <si>
    <t xml:space="preserve">UNIT COST </t>
  </si>
  <si>
    <t>WHOLESALE FABRICATION</t>
  </si>
  <si>
    <t xml:space="preserve">INSTALLATION </t>
  </si>
  <si>
    <t>Columna2</t>
  </si>
  <si>
    <t>JOB ID3</t>
  </si>
  <si>
    <t>PRICE QUOTE</t>
  </si>
  <si>
    <t>INSTALLATION</t>
  </si>
  <si>
    <t>FABRICATION</t>
  </si>
  <si>
    <t>c</t>
  </si>
  <si>
    <t>MATERIALS</t>
  </si>
  <si>
    <t>C2</t>
  </si>
  <si>
    <t>PURCHASE</t>
  </si>
  <si>
    <t>Scaffold (x)</t>
  </si>
  <si>
    <t>WIDTH (M)</t>
  </si>
  <si>
    <t>HEIGHT (M)</t>
  </si>
  <si>
    <t>Alumn unit</t>
  </si>
  <si>
    <t>SPECIAL PARTS
($)</t>
  </si>
  <si>
    <t>SPECIAL LABOR
($)</t>
  </si>
  <si>
    <t>($) PER PLASCORE SQFT2</t>
  </si>
  <si>
    <t>c3</t>
  </si>
  <si>
    <t>PANEL DETAILS</t>
  </si>
  <si>
    <t>RETAIL TOTAL PRICE (SALES PRICE,INSTALLATION, FABRICATION)</t>
  </si>
  <si>
    <t xml:space="preserve">TOTAL </t>
  </si>
  <si>
    <t>SALES REP</t>
  </si>
  <si>
    <t>Perimter of each panel FT</t>
  </si>
  <si>
    <t>ALUM WASHER</t>
  </si>
  <si>
    <t>EACH PR</t>
  </si>
  <si>
    <t>ALUM WASHER2</t>
  </si>
  <si>
    <t>TOTAL SALES PRICE</t>
  </si>
  <si>
    <t xml:space="preserve">Test </t>
  </si>
  <si>
    <t>2" X 2" X 3/16" TUBO COST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</si>
</sst>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4" formatCode="_-&quot;$&quot;* #,##0.00_-;\-&quot;$&quot;* #,##0.00_-;_-&quot;$&quot;* &quot;-&quot;??_-;_-@_-"/>
    <numFmt numFmtId="164" formatCode="&quot;$&quot;#,##0.00_);[Red]\(&quot;$&quot;#,##0.0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(* #,##0.000_);_(* \(#,##0.000\);_(* &quot;-&quot;??_);_(@_)"/>
    <numFmt numFmtId="168" formatCode="_(* #,##0_);_(* \(#,##0\);_(* &quot;-&quot;??_);_(@_)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2"/>
      <color theme="1"/>
      <name val="Cordia New"/>
      <family val="2"/>
    </font>
    <font>
      <b/>
      <sz val="12"/>
      <color theme="1"/>
      <name val="Cordia New"/>
      <family val="2"/>
    </font>
    <font>
      <b/>
      <sz val="12"/>
      <color rgb="FFFF0000"/>
      <name val="Cordia New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Cordia New"/>
      <family val="2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ordia New"/>
      <family val="2"/>
    </font>
    <font>
      <b/>
      <u/>
      <sz val="12"/>
      <color rgb="FFC00000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20"/>
      <name val="Cordia New"/>
      <family val="2"/>
    </font>
    <font>
      <sz val="20"/>
      <name val="Cordia New"/>
      <family val="2"/>
    </font>
  </fonts>
  <fills count="2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</fills>
  <borders count="5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ck">
        <color indexed="64"/>
      </top>
      <bottom/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/>
      <right/>
      <top style="thin">
        <color rgb="FF7F7F7F"/>
      </top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n">
        <color theme="6"/>
      </bottom>
      <diagonal/>
    </border>
    <border>
      <left/>
      <right/>
      <top/>
      <bottom style="thin">
        <color theme="6"/>
      </bottom>
      <diagonal/>
    </border>
    <border>
      <left/>
      <right style="thick">
        <color indexed="64"/>
      </right>
      <top style="thick">
        <color indexed="64"/>
      </top>
      <bottom style="thin">
        <color theme="6"/>
      </bottom>
      <diagonal/>
    </border>
    <border>
      <left/>
      <right style="medium">
        <color indexed="64"/>
      </right>
      <top/>
      <bottom style="thin">
        <color theme="6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theme="6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 applyNumberFormat="0" applyFill="0" applyBorder="0" applyAlignment="0" applyProtection="0"/>
  </cellStyleXfs>
  <cellXfs count="339">
    <xf numFmtId="0" fontId="0" fillId="0" borderId="0" xfId="0"/>
    <xf numFmtId="0" fontId="3" fillId="3" borderId="0" xfId="0" applyFont="1" applyFill="1" applyBorder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horizontal="center" textRotation="90"/>
      <protection hidden="1"/>
    </xf>
    <xf numFmtId="0" fontId="3" fillId="0" borderId="0" xfId="0" applyFont="1" applyFill="1" applyBorder="1" applyProtection="1">
      <protection hidden="1"/>
    </xf>
    <xf numFmtId="165" fontId="3" fillId="0" borderId="0" xfId="2" applyFont="1" applyFill="1" applyBorder="1" applyProtection="1">
      <protection hidden="1"/>
    </xf>
    <xf numFmtId="167" fontId="3" fillId="0" borderId="0" xfId="1" applyNumberFormat="1" applyFont="1" applyFill="1" applyBorder="1" applyProtection="1"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166" fontId="3" fillId="0" borderId="0" xfId="1" applyFont="1" applyFill="1" applyBorder="1" applyAlignment="1" applyProtection="1">
      <alignment horizontal="right"/>
      <protection hidden="1"/>
    </xf>
    <xf numFmtId="166" fontId="3" fillId="0" borderId="0" xfId="1" applyFont="1" applyFill="1" applyBorder="1" applyAlignment="1" applyProtection="1">
      <alignment horizontal="center"/>
      <protection hidden="1"/>
    </xf>
    <xf numFmtId="0" fontId="3" fillId="0" borderId="0" xfId="0" applyFont="1" applyFill="1" applyBorder="1"/>
    <xf numFmtId="0" fontId="4" fillId="3" borderId="0" xfId="0" applyFont="1" applyFill="1" applyBorder="1" applyAlignment="1">
      <alignment horizontal="left" vertical="center"/>
    </xf>
    <xf numFmtId="0" fontId="3" fillId="5" borderId="3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left" vertical="center"/>
    </xf>
    <xf numFmtId="0" fontId="4" fillId="3" borderId="0" xfId="0" applyFont="1" applyFill="1" applyBorder="1" applyAlignment="1">
      <alignment vertical="center"/>
    </xf>
    <xf numFmtId="0" fontId="5" fillId="3" borderId="0" xfId="0" applyFont="1" applyFill="1" applyBorder="1" applyAlignment="1">
      <alignment vertical="center"/>
    </xf>
    <xf numFmtId="14" fontId="5" fillId="3" borderId="0" xfId="0" applyNumberFormat="1" applyFont="1" applyFill="1" applyBorder="1" applyAlignment="1">
      <alignment horizontal="left" vertical="center"/>
    </xf>
    <xf numFmtId="0" fontId="7" fillId="3" borderId="0" xfId="4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4" fillId="3" borderId="0" xfId="0" applyFont="1" applyFill="1" applyBorder="1" applyAlignment="1" applyProtection="1">
      <alignment horizontal="center" vertical="center" wrapText="1"/>
      <protection hidden="1"/>
    </xf>
    <xf numFmtId="0" fontId="4" fillId="0" borderId="2" xfId="0" applyFont="1" applyFill="1" applyBorder="1" applyAlignment="1" applyProtection="1">
      <alignment horizontal="center" vertical="center"/>
      <protection hidden="1"/>
    </xf>
    <xf numFmtId="0" fontId="10" fillId="9" borderId="3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>
      <alignment horizontal="center" vertical="center" wrapText="1"/>
    </xf>
    <xf numFmtId="0" fontId="10" fillId="9" borderId="21" xfId="0" applyFont="1" applyFill="1" applyBorder="1" applyAlignment="1" applyProtection="1">
      <alignment horizontal="center" vertical="center" wrapText="1"/>
      <protection hidden="1"/>
    </xf>
    <xf numFmtId="0" fontId="10" fillId="9" borderId="13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165" fontId="10" fillId="0" borderId="0" xfId="2" applyFont="1" applyFill="1" applyBorder="1" applyAlignment="1" applyProtection="1">
      <alignment horizontal="center" vertical="center" wrapText="1"/>
      <protection hidden="1"/>
    </xf>
    <xf numFmtId="0" fontId="4" fillId="6" borderId="10" xfId="0" applyFont="1" applyFill="1" applyBorder="1" applyAlignment="1" applyProtection="1">
      <alignment horizontal="center" vertical="center" wrapText="1"/>
      <protection hidden="1"/>
    </xf>
    <xf numFmtId="166" fontId="4" fillId="6" borderId="10" xfId="1" applyFont="1" applyFill="1" applyBorder="1" applyAlignment="1" applyProtection="1">
      <alignment horizontal="right" vertical="center" wrapText="1"/>
      <protection hidden="1"/>
    </xf>
    <xf numFmtId="0" fontId="4" fillId="6" borderId="22" xfId="0" applyFont="1" applyFill="1" applyBorder="1" applyAlignment="1" applyProtection="1">
      <alignment horizontal="center" vertical="center" wrapText="1"/>
      <protection hidden="1"/>
    </xf>
    <xf numFmtId="0" fontId="4" fillId="7" borderId="0" xfId="0" applyFont="1" applyFill="1" applyBorder="1" applyAlignment="1" applyProtection="1">
      <alignment horizontal="center" vertical="center" wrapText="1"/>
      <protection hidden="1"/>
    </xf>
    <xf numFmtId="166" fontId="4" fillId="7" borderId="0" xfId="1" applyFont="1" applyFill="1" applyBorder="1" applyAlignment="1" applyProtection="1">
      <alignment horizontal="center" vertical="center" wrapText="1"/>
      <protection hidden="1"/>
    </xf>
    <xf numFmtId="2" fontId="14" fillId="0" borderId="14" xfId="0" applyNumberFormat="1" applyFont="1" applyFill="1" applyBorder="1" applyAlignment="1">
      <alignment horizontal="center" vertical="center"/>
    </xf>
    <xf numFmtId="2" fontId="14" fillId="0" borderId="0" xfId="0" applyNumberFormat="1" applyFont="1" applyFill="1" applyBorder="1" applyAlignment="1">
      <alignment horizontal="center" vertical="center"/>
    </xf>
    <xf numFmtId="2" fontId="15" fillId="0" borderId="0" xfId="0" applyNumberFormat="1" applyFont="1" applyFill="1" applyBorder="1" applyAlignment="1">
      <alignment horizontal="center" vertical="center"/>
    </xf>
    <xf numFmtId="2" fontId="16" fillId="0" borderId="23" xfId="0" applyNumberFormat="1" applyFont="1" applyFill="1" applyBorder="1" applyAlignment="1">
      <alignment horizontal="center" vertical="center"/>
    </xf>
    <xf numFmtId="2" fontId="16" fillId="0" borderId="24" xfId="0" applyNumberFormat="1" applyFont="1" applyFill="1" applyBorder="1" applyAlignment="1">
      <alignment horizontal="center" vertical="center"/>
    </xf>
    <xf numFmtId="2" fontId="16" fillId="15" borderId="0" xfId="0" applyNumberFormat="1" applyFont="1" applyFill="1" applyBorder="1" applyAlignment="1" applyProtection="1">
      <alignment horizontal="center" vertical="center"/>
      <protection hidden="1"/>
    </xf>
    <xf numFmtId="44" fontId="16" fillId="10" borderId="0" xfId="0" applyNumberFormat="1" applyFont="1" applyFill="1" applyBorder="1" applyAlignment="1">
      <alignment horizontal="center" vertical="center"/>
    </xf>
    <xf numFmtId="44" fontId="16" fillId="6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 applyProtection="1">
      <alignment horizontal="center" vertical="center"/>
      <protection hidden="1"/>
    </xf>
    <xf numFmtId="44" fontId="9" fillId="0" borderId="0" xfId="0" applyNumberFormat="1" applyFont="1" applyAlignment="1" applyProtection="1">
      <alignment horizontal="center" vertical="center"/>
      <protection hidden="1"/>
    </xf>
    <xf numFmtId="44" fontId="16" fillId="3" borderId="0" xfId="0" applyNumberFormat="1" applyFont="1" applyFill="1" applyBorder="1" applyAlignment="1" applyProtection="1">
      <alignment horizontal="center" vertical="center"/>
      <protection hidden="1"/>
    </xf>
    <xf numFmtId="44" fontId="16" fillId="5" borderId="0" xfId="0" applyNumberFormat="1" applyFont="1" applyFill="1" applyBorder="1" applyAlignment="1" applyProtection="1">
      <alignment horizontal="center" vertical="center"/>
      <protection hidden="1"/>
    </xf>
    <xf numFmtId="165" fontId="16" fillId="0" borderId="0" xfId="2" applyFont="1" applyFill="1" applyBorder="1" applyAlignment="1" applyProtection="1">
      <alignment horizontal="center" vertical="center"/>
      <protection hidden="1"/>
    </xf>
    <xf numFmtId="44" fontId="16" fillId="0" borderId="0" xfId="0" applyNumberFormat="1" applyFont="1" applyFill="1" applyBorder="1" applyAlignment="1" applyProtection="1">
      <alignment horizontal="center" vertical="center"/>
      <protection hidden="1"/>
    </xf>
    <xf numFmtId="168" fontId="16" fillId="0" borderId="0" xfId="0" applyNumberFormat="1" applyFont="1" applyFill="1" applyBorder="1" applyAlignment="1" applyProtection="1">
      <alignment horizontal="center" vertical="center"/>
      <protection hidden="1"/>
    </xf>
    <xf numFmtId="166" fontId="4" fillId="6" borderId="0" xfId="0" applyNumberFormat="1" applyFont="1" applyFill="1" applyBorder="1" applyAlignment="1" applyProtection="1">
      <alignment horizontal="center" vertical="center"/>
      <protection hidden="1"/>
    </xf>
    <xf numFmtId="0" fontId="4" fillId="7" borderId="0" xfId="0" applyFont="1" applyFill="1" applyBorder="1" applyAlignment="1" applyProtection="1">
      <alignment horizontal="center" vertical="center"/>
      <protection hidden="1"/>
    </xf>
    <xf numFmtId="166" fontId="4" fillId="7" borderId="0" xfId="0" applyNumberFormat="1" applyFont="1" applyFill="1" applyBorder="1" applyAlignment="1" applyProtection="1">
      <alignment horizontal="center" vertical="center"/>
      <protection hidden="1"/>
    </xf>
    <xf numFmtId="2" fontId="4" fillId="0" borderId="0" xfId="0" applyNumberFormat="1" applyFont="1" applyFill="1" applyBorder="1" applyAlignment="1">
      <alignment horizontal="center" vertical="center"/>
    </xf>
    <xf numFmtId="13" fontId="3" fillId="0" borderId="0" xfId="0" applyNumberFormat="1" applyFont="1" applyFill="1" applyBorder="1" applyAlignment="1">
      <alignment horizontal="center"/>
    </xf>
    <xf numFmtId="0" fontId="3" fillId="0" borderId="16" xfId="0" applyFont="1" applyFill="1" applyBorder="1"/>
    <xf numFmtId="2" fontId="3" fillId="0" borderId="0" xfId="0" applyNumberFormat="1" applyFont="1" applyFill="1" applyBorder="1"/>
    <xf numFmtId="0" fontId="3" fillId="0" borderId="16" xfId="0" applyFont="1" applyFill="1" applyBorder="1" applyProtection="1">
      <protection hidden="1"/>
    </xf>
    <xf numFmtId="2" fontId="3" fillId="0" borderId="0" xfId="0" applyNumberFormat="1" applyFont="1" applyFill="1" applyBorder="1" applyProtection="1">
      <protection hidden="1"/>
    </xf>
    <xf numFmtId="166" fontId="4" fillId="7" borderId="0" xfId="1" applyFont="1" applyFill="1" applyBorder="1" applyAlignment="1" applyProtection="1">
      <alignment horizontal="center" vertical="center"/>
      <protection hidden="1"/>
    </xf>
    <xf numFmtId="0" fontId="16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left"/>
    </xf>
    <xf numFmtId="0" fontId="4" fillId="7" borderId="7" xfId="0" applyFont="1" applyFill="1" applyBorder="1" applyAlignment="1" applyProtection="1">
      <alignment horizontal="center" vertical="center"/>
      <protection hidden="1"/>
    </xf>
    <xf numFmtId="0" fontId="4" fillId="7" borderId="20" xfId="0" applyFont="1" applyFill="1" applyBorder="1" applyAlignment="1" applyProtection="1">
      <alignment horizontal="center" vertical="center"/>
      <protection hidden="1"/>
    </xf>
    <xf numFmtId="166" fontId="4" fillId="7" borderId="20" xfId="1" applyFont="1" applyFill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9" fillId="0" borderId="0" xfId="0" applyFont="1"/>
    <xf numFmtId="0" fontId="4" fillId="19" borderId="10" xfId="0" applyFont="1" applyFill="1" applyBorder="1" applyAlignment="1" applyProtection="1">
      <alignment horizontal="center" vertical="center" wrapText="1"/>
      <protection hidden="1"/>
    </xf>
    <xf numFmtId="166" fontId="4" fillId="19" borderId="10" xfId="1" applyFont="1" applyFill="1" applyBorder="1" applyAlignment="1" applyProtection="1">
      <alignment horizontal="right" vertical="center" wrapText="1"/>
      <protection hidden="1"/>
    </xf>
    <xf numFmtId="0" fontId="4" fillId="19" borderId="31" xfId="0" applyFont="1" applyFill="1" applyBorder="1" applyAlignment="1" applyProtection="1">
      <alignment horizontal="center" vertical="center"/>
      <protection hidden="1"/>
    </xf>
    <xf numFmtId="0" fontId="4" fillId="19" borderId="32" xfId="0" applyFont="1" applyFill="1" applyBorder="1" applyAlignment="1" applyProtection="1">
      <alignment horizontal="center" vertical="center"/>
      <protection hidden="1"/>
    </xf>
    <xf numFmtId="166" fontId="4" fillId="19" borderId="32" xfId="1" applyFont="1" applyFill="1" applyBorder="1" applyAlignment="1" applyProtection="1">
      <alignment horizontal="right" vertical="center"/>
      <protection hidden="1"/>
    </xf>
    <xf numFmtId="2" fontId="3" fillId="0" borderId="0" xfId="0" applyNumberFormat="1" applyFont="1" applyFill="1" applyBorder="1" applyAlignment="1" applyProtection="1">
      <alignment horizontal="center"/>
      <protection hidden="1"/>
    </xf>
    <xf numFmtId="0" fontId="4" fillId="19" borderId="19" xfId="0" applyFont="1" applyFill="1" applyBorder="1" applyAlignment="1" applyProtection="1">
      <alignment horizontal="center" vertical="center"/>
      <protection hidden="1"/>
    </xf>
    <xf numFmtId="0" fontId="4" fillId="19" borderId="20" xfId="0" applyFont="1" applyFill="1" applyBorder="1" applyAlignment="1" applyProtection="1">
      <alignment horizontal="center" vertical="center"/>
      <protection hidden="1"/>
    </xf>
    <xf numFmtId="166" fontId="4" fillId="19" borderId="20" xfId="1" applyFont="1" applyFill="1" applyBorder="1" applyAlignment="1" applyProtection="1">
      <alignment horizontal="right" vertical="center"/>
      <protection hidden="1"/>
    </xf>
    <xf numFmtId="2" fontId="3" fillId="0" borderId="0" xfId="0" applyNumberFormat="1" applyFont="1" applyFill="1" applyBorder="1" applyAlignment="1">
      <alignment horizontal="center"/>
    </xf>
    <xf numFmtId="165" fontId="3" fillId="0" borderId="0" xfId="2" applyFont="1" applyFill="1" applyBorder="1" applyAlignment="1" applyProtection="1">
      <alignment horizontal="center"/>
      <protection hidden="1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4" fillId="19" borderId="20" xfId="0" applyFont="1" applyFill="1" applyBorder="1" applyAlignment="1" applyProtection="1">
      <alignment horizontal="center" vertical="center"/>
      <protection hidden="1"/>
    </xf>
    <xf numFmtId="0" fontId="4" fillId="7" borderId="0" xfId="0" applyFont="1" applyFill="1" applyBorder="1" applyAlignment="1" applyProtection="1">
      <alignment horizontal="center" vertical="center"/>
      <protection hidden="1"/>
    </xf>
    <xf numFmtId="0" fontId="4" fillId="7" borderId="20" xfId="0" applyFont="1" applyFill="1" applyBorder="1" applyAlignment="1" applyProtection="1">
      <alignment horizontal="center" vertical="center"/>
      <protection hidden="1"/>
    </xf>
    <xf numFmtId="44" fontId="9" fillId="0" borderId="0" xfId="0" applyNumberFormat="1" applyFont="1" applyBorder="1" applyAlignment="1" applyProtection="1">
      <alignment horizontal="center" vertical="center"/>
      <protection hidden="1"/>
    </xf>
    <xf numFmtId="165" fontId="10" fillId="15" borderId="0" xfId="2" applyFont="1" applyFill="1" applyBorder="1" applyAlignment="1" applyProtection="1">
      <alignment horizontal="center" vertical="center" wrapText="1"/>
      <protection hidden="1"/>
    </xf>
    <xf numFmtId="165" fontId="10" fillId="16" borderId="0" xfId="2" applyFont="1" applyFill="1" applyBorder="1" applyAlignment="1" applyProtection="1">
      <alignment horizontal="center" vertical="center" wrapText="1"/>
      <protection hidden="1"/>
    </xf>
    <xf numFmtId="168" fontId="16" fillId="0" borderId="14" xfId="0" applyNumberFormat="1" applyFont="1" applyFill="1" applyBorder="1" applyAlignment="1" applyProtection="1">
      <alignment horizontal="center" vertical="center"/>
      <protection hidden="1"/>
    </xf>
    <xf numFmtId="0" fontId="10" fillId="10" borderId="0" xfId="0" applyFont="1" applyFill="1" applyBorder="1" applyAlignment="1">
      <alignment horizontal="center" vertical="center" wrapText="1"/>
    </xf>
    <xf numFmtId="0" fontId="10" fillId="6" borderId="0" xfId="0" applyFont="1" applyFill="1" applyBorder="1" applyAlignment="1">
      <alignment horizontal="center" vertical="center" wrapText="1"/>
    </xf>
    <xf numFmtId="0" fontId="9" fillId="6" borderId="0" xfId="3" applyFont="1" applyFill="1" applyBorder="1" applyAlignment="1">
      <alignment horizontal="center" vertical="center" wrapText="1"/>
    </xf>
    <xf numFmtId="0" fontId="9" fillId="12" borderId="0" xfId="3" applyFont="1" applyFill="1" applyBorder="1" applyAlignment="1" applyProtection="1">
      <alignment horizontal="center" vertical="center" wrapText="1"/>
      <protection hidden="1"/>
    </xf>
    <xf numFmtId="165" fontId="10" fillId="13" borderId="0" xfId="2" applyFont="1" applyFill="1" applyBorder="1" applyAlignment="1" applyProtection="1">
      <alignment horizontal="center" vertical="center" wrapText="1"/>
      <protection hidden="1"/>
    </xf>
    <xf numFmtId="0" fontId="10" fillId="12" borderId="0" xfId="0" applyFont="1" applyFill="1" applyBorder="1" applyAlignment="1" applyProtection="1">
      <alignment horizontal="center" vertical="center" wrapText="1"/>
      <protection hidden="1"/>
    </xf>
    <xf numFmtId="167" fontId="10" fillId="16" borderId="9" xfId="1" applyNumberFormat="1" applyFont="1" applyFill="1" applyBorder="1" applyAlignment="1" applyProtection="1">
      <alignment horizontal="center" vertical="center" wrapText="1"/>
      <protection hidden="1"/>
    </xf>
    <xf numFmtId="167" fontId="10" fillId="16" borderId="10" xfId="1" applyNumberFormat="1" applyFont="1" applyFill="1" applyBorder="1" applyAlignment="1" applyProtection="1">
      <alignment horizontal="center" vertical="center" wrapText="1"/>
      <protection hidden="1"/>
    </xf>
    <xf numFmtId="165" fontId="10" fillId="16" borderId="10" xfId="2" applyFont="1" applyFill="1" applyBorder="1" applyAlignment="1" applyProtection="1">
      <alignment horizontal="center" vertical="center" wrapText="1"/>
      <protection hidden="1"/>
    </xf>
    <xf numFmtId="0" fontId="13" fillId="13" borderId="17" xfId="0" applyFont="1" applyFill="1" applyBorder="1" applyAlignment="1">
      <alignment horizontal="center" vertical="center" wrapText="1"/>
    </xf>
    <xf numFmtId="167" fontId="10" fillId="13" borderId="17" xfId="1" applyNumberFormat="1" applyFont="1" applyFill="1" applyBorder="1" applyAlignment="1">
      <alignment horizontal="center" vertical="center" wrapText="1"/>
    </xf>
    <xf numFmtId="165" fontId="10" fillId="13" borderId="17" xfId="2" applyFont="1" applyFill="1" applyBorder="1" applyAlignment="1">
      <alignment horizontal="center" vertical="center" wrapText="1"/>
    </xf>
    <xf numFmtId="165" fontId="12" fillId="13" borderId="17" xfId="2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65" fontId="10" fillId="19" borderId="0" xfId="2" applyFont="1" applyFill="1" applyBorder="1" applyAlignment="1" applyProtection="1">
      <alignment horizontal="center" vertical="center" wrapText="1"/>
      <protection hidden="1"/>
    </xf>
    <xf numFmtId="0" fontId="10" fillId="6" borderId="26" xfId="0" applyFont="1" applyFill="1" applyBorder="1" applyAlignment="1">
      <alignment horizontal="center" vertical="center" wrapText="1"/>
    </xf>
    <xf numFmtId="165" fontId="10" fillId="19" borderId="25" xfId="2" applyFont="1" applyFill="1" applyBorder="1" applyAlignment="1" applyProtection="1">
      <alignment horizontal="center" vertical="center" wrapText="1"/>
      <protection hidden="1"/>
    </xf>
    <xf numFmtId="0" fontId="9" fillId="12" borderId="25" xfId="3" applyFont="1" applyFill="1" applyBorder="1" applyAlignment="1" applyProtection="1">
      <alignment horizontal="center" vertical="center" wrapText="1"/>
      <protection hidden="1"/>
    </xf>
    <xf numFmtId="0" fontId="4" fillId="3" borderId="20" xfId="0" applyFont="1" applyFill="1" applyBorder="1" applyAlignment="1" applyProtection="1">
      <alignment horizontal="center" vertical="center" wrapText="1"/>
      <protection hidden="1"/>
    </xf>
    <xf numFmtId="0" fontId="10" fillId="10" borderId="41" xfId="0" applyFont="1" applyFill="1" applyBorder="1" applyAlignment="1">
      <alignment horizontal="center" vertical="center" wrapText="1"/>
    </xf>
    <xf numFmtId="165" fontId="10" fillId="12" borderId="26" xfId="2" applyFont="1" applyFill="1" applyBorder="1" applyAlignment="1" applyProtection="1">
      <alignment horizontal="center" vertical="center" wrapText="1"/>
      <protection hidden="1"/>
    </xf>
    <xf numFmtId="165" fontId="16" fillId="5" borderId="26" xfId="2" applyFont="1" applyFill="1" applyBorder="1" applyAlignment="1" applyProtection="1">
      <alignment horizontal="center" vertical="center"/>
      <protection hidden="1"/>
    </xf>
    <xf numFmtId="165" fontId="21" fillId="14" borderId="26" xfId="2" applyFont="1" applyFill="1" applyBorder="1" applyAlignment="1" applyProtection="1">
      <alignment horizontal="center" vertical="center" wrapText="1"/>
      <protection hidden="1"/>
    </xf>
    <xf numFmtId="0" fontId="22" fillId="14" borderId="25" xfId="0" applyFont="1" applyFill="1" applyBorder="1" applyAlignment="1" applyProtection="1">
      <alignment horizontal="center" vertical="center" wrapText="1"/>
      <protection hidden="1"/>
    </xf>
    <xf numFmtId="44" fontId="16" fillId="5" borderId="25" xfId="0" applyNumberFormat="1" applyFont="1" applyFill="1" applyBorder="1" applyAlignment="1" applyProtection="1">
      <alignment horizontal="center" vertical="center"/>
      <protection hidden="1"/>
    </xf>
    <xf numFmtId="166" fontId="16" fillId="0" borderId="0" xfId="2" applyNumberFormat="1" applyFont="1" applyFill="1" applyBorder="1" applyAlignment="1" applyProtection="1">
      <alignment horizontal="center" vertical="center"/>
      <protection hidden="1"/>
    </xf>
    <xf numFmtId="166" fontId="4" fillId="7" borderId="26" xfId="0" applyNumberFormat="1" applyFont="1" applyFill="1" applyBorder="1" applyAlignment="1" applyProtection="1">
      <alignment horizontal="center" vertical="center"/>
      <protection hidden="1"/>
    </xf>
    <xf numFmtId="166" fontId="16" fillId="0" borderId="0" xfId="0" applyNumberFormat="1" applyFont="1" applyFill="1" applyBorder="1" applyAlignment="1">
      <alignment horizontal="center" vertical="center"/>
    </xf>
    <xf numFmtId="166" fontId="16" fillId="0" borderId="0" xfId="1" applyNumberFormat="1" applyFont="1" applyFill="1" applyBorder="1" applyAlignment="1">
      <alignment horizontal="center" vertical="center"/>
    </xf>
    <xf numFmtId="166" fontId="16" fillId="3" borderId="0" xfId="1" applyNumberFormat="1" applyFont="1" applyFill="1" applyBorder="1" applyAlignment="1">
      <alignment horizontal="center" vertical="center"/>
    </xf>
    <xf numFmtId="166" fontId="10" fillId="0" borderId="0" xfId="1" applyNumberFormat="1" applyFont="1" applyFill="1" applyBorder="1" applyAlignment="1">
      <alignment horizontal="center" vertical="center" wrapText="1"/>
    </xf>
    <xf numFmtId="166" fontId="16" fillId="0" borderId="0" xfId="1" applyNumberFormat="1" applyFont="1" applyFill="1" applyBorder="1" applyAlignment="1">
      <alignment horizontal="center" vertical="center" wrapText="1"/>
    </xf>
    <xf numFmtId="166" fontId="17" fillId="3" borderId="0" xfId="0" applyNumberFormat="1" applyFont="1" applyFill="1" applyBorder="1" applyAlignment="1">
      <alignment horizontal="center" vertical="center"/>
    </xf>
    <xf numFmtId="166" fontId="16" fillId="3" borderId="0" xfId="0" applyNumberFormat="1" applyFont="1" applyFill="1" applyBorder="1" applyAlignment="1">
      <alignment horizontal="center" vertical="center"/>
    </xf>
    <xf numFmtId="44" fontId="16" fillId="10" borderId="25" xfId="0" applyNumberFormat="1" applyFont="1" applyFill="1" applyBorder="1" applyAlignment="1">
      <alignment horizontal="center" vertical="center"/>
    </xf>
    <xf numFmtId="0" fontId="25" fillId="3" borderId="0" xfId="3" applyFont="1" applyFill="1" applyBorder="1" applyAlignment="1" applyProtection="1">
      <alignment horizontal="center" vertical="center" wrapText="1"/>
      <protection hidden="1"/>
    </xf>
    <xf numFmtId="165" fontId="24" fillId="3" borderId="41" xfId="2" applyFont="1" applyFill="1" applyBorder="1" applyAlignment="1" applyProtection="1">
      <alignment horizontal="center" vertical="center" wrapText="1"/>
      <protection hidden="1"/>
    </xf>
    <xf numFmtId="165" fontId="3" fillId="0" borderId="16" xfId="2" applyFont="1" applyFill="1" applyBorder="1" applyProtection="1">
      <protection hidden="1"/>
    </xf>
    <xf numFmtId="0" fontId="9" fillId="11" borderId="0" xfId="3" applyFont="1" applyFill="1" applyBorder="1" applyAlignment="1" applyProtection="1">
      <alignment horizontal="center" vertical="center" wrapText="1"/>
      <protection hidden="1"/>
    </xf>
    <xf numFmtId="2" fontId="26" fillId="0" borderId="0" xfId="0" applyNumberFormat="1" applyFont="1" applyFill="1" applyBorder="1"/>
    <xf numFmtId="2" fontId="26" fillId="0" borderId="15" xfId="0" applyNumberFormat="1" applyFont="1" applyFill="1" applyBorder="1"/>
    <xf numFmtId="2" fontId="0" fillId="0" borderId="0" xfId="0" applyNumberFormat="1" applyFill="1" applyBorder="1" applyAlignment="1">
      <alignment horizontal="center"/>
    </xf>
    <xf numFmtId="0" fontId="0" fillId="0" borderId="0" xfId="0" applyBorder="1"/>
    <xf numFmtId="165" fontId="27" fillId="3" borderId="0" xfId="2" applyFont="1" applyFill="1" applyBorder="1" applyAlignment="1" applyProtection="1">
      <alignment horizontal="left" vertical="center"/>
      <protection hidden="1"/>
    </xf>
    <xf numFmtId="0" fontId="27" fillId="3" borderId="0" xfId="0" applyFont="1" applyFill="1" applyBorder="1" applyAlignment="1" applyProtection="1">
      <alignment horizontal="left" vertical="center"/>
      <protection hidden="1"/>
    </xf>
    <xf numFmtId="0" fontId="28" fillId="3" borderId="0" xfId="0" applyFont="1" applyFill="1" applyBorder="1" applyAlignment="1" applyProtection="1">
      <alignment horizontal="left" textRotation="90"/>
      <protection hidden="1"/>
    </xf>
    <xf numFmtId="0" fontId="28" fillId="3" borderId="0" xfId="0" applyFont="1" applyFill="1" applyBorder="1" applyAlignment="1" applyProtection="1">
      <alignment horizontal="left" vertical="center"/>
      <protection hidden="1"/>
    </xf>
    <xf numFmtId="165" fontId="24" fillId="3" borderId="12" xfId="2" applyFont="1" applyFill="1" applyBorder="1" applyAlignment="1" applyProtection="1">
      <alignment horizontal="center" vertical="center" wrapText="1"/>
      <protection hidden="1"/>
    </xf>
    <xf numFmtId="44" fontId="9" fillId="3" borderId="35" xfId="0" applyNumberFormat="1" applyFont="1" applyFill="1" applyBorder="1" applyAlignment="1" applyProtection="1">
      <alignment horizontal="center" vertical="center"/>
      <protection hidden="1"/>
    </xf>
    <xf numFmtId="165" fontId="25" fillId="3" borderId="50" xfId="2" applyFont="1" applyFill="1" applyBorder="1" applyAlignment="1" applyProtection="1">
      <alignment horizontal="center" vertical="center" textRotation="90"/>
      <protection hidden="1"/>
    </xf>
    <xf numFmtId="0" fontId="10" fillId="13" borderId="17" xfId="0" applyFont="1" applyFill="1" applyBorder="1" applyAlignment="1">
      <alignment horizontal="center" vertical="center" wrapText="1"/>
    </xf>
    <xf numFmtId="0" fontId="11" fillId="0" borderId="0" xfId="0" applyFont="1" applyAlignment="1" applyProtection="1">
      <alignment horizontal="center" vertical="center" wrapText="1"/>
      <protection hidden="1"/>
    </xf>
    <xf numFmtId="165" fontId="11" fillId="0" borderId="22" xfId="2" applyFont="1" applyBorder="1" applyAlignment="1" applyProtection="1">
      <alignment horizontal="center" vertical="center" wrapText="1"/>
      <protection hidden="1"/>
    </xf>
    <xf numFmtId="0" fontId="3" fillId="3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 applyProtection="1">
      <alignment vertical="center"/>
      <protection hidden="1"/>
    </xf>
    <xf numFmtId="0" fontId="3" fillId="3" borderId="0" xfId="0" applyFont="1" applyFill="1" applyBorder="1" applyAlignment="1" applyProtection="1">
      <alignment vertical="center"/>
      <protection hidden="1"/>
    </xf>
    <xf numFmtId="0" fontId="4" fillId="3" borderId="0" xfId="0" applyFont="1" applyFill="1" applyBorder="1" applyAlignment="1" applyProtection="1">
      <alignment horizontal="left" vertical="center"/>
      <protection hidden="1"/>
    </xf>
    <xf numFmtId="165" fontId="3" fillId="3" borderId="0" xfId="2" applyFont="1" applyFill="1" applyBorder="1" applyAlignment="1" applyProtection="1">
      <alignment vertical="center"/>
      <protection hidden="1"/>
    </xf>
    <xf numFmtId="0" fontId="3" fillId="0" borderId="0" xfId="0" applyFont="1" applyFill="1" applyBorder="1" applyProtection="1">
      <protection hidden="1"/>
    </xf>
    <xf numFmtId="165" fontId="3" fillId="0" borderId="0" xfId="2" applyFont="1" applyFill="1" applyBorder="1" applyProtection="1">
      <protection hidden="1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/>
      <protection hidden="1"/>
    </xf>
    <xf numFmtId="0" fontId="3" fillId="0" borderId="0" xfId="0" applyFont="1" applyFill="1" applyBorder="1" applyAlignment="1">
      <alignment horizontal="center"/>
    </xf>
    <xf numFmtId="165" fontId="9" fillId="5" borderId="18" xfId="2" applyFont="1" applyFill="1" applyBorder="1" applyAlignment="1" applyProtection="1">
      <alignment horizontal="center" vertical="center"/>
      <protection hidden="1"/>
    </xf>
    <xf numFmtId="167" fontId="9" fillId="5" borderId="18" xfId="1" applyNumberFormat="1" applyFont="1" applyFill="1" applyBorder="1" applyAlignment="1" applyProtection="1">
      <alignment horizontal="center" vertical="center"/>
      <protection hidden="1"/>
    </xf>
    <xf numFmtId="0" fontId="10" fillId="9" borderId="13" xfId="0" applyFont="1" applyFill="1" applyBorder="1" applyAlignment="1" applyProtection="1">
      <alignment horizontal="center" vertical="center" wrapText="1"/>
      <protection hidden="1"/>
    </xf>
    <xf numFmtId="2" fontId="10" fillId="15" borderId="0" xfId="0" applyNumberFormat="1" applyFont="1" applyFill="1" applyBorder="1" applyAlignment="1" applyProtection="1">
      <alignment horizontal="center" vertical="center"/>
      <protection hidden="1"/>
    </xf>
    <xf numFmtId="2" fontId="16" fillId="15" borderId="0" xfId="0" applyNumberFormat="1" applyFont="1" applyFill="1" applyBorder="1" applyAlignment="1" applyProtection="1">
      <alignment horizontal="center" vertical="center"/>
      <protection hidden="1"/>
    </xf>
    <xf numFmtId="0" fontId="3" fillId="0" borderId="16" xfId="0" applyFont="1" applyFill="1" applyBorder="1"/>
    <xf numFmtId="0" fontId="4" fillId="6" borderId="32" xfId="0" applyFont="1" applyFill="1" applyBorder="1" applyAlignment="1" applyProtection="1">
      <alignment horizontal="center" vertical="center"/>
      <protection hidden="1"/>
    </xf>
    <xf numFmtId="166" fontId="4" fillId="6" borderId="32" xfId="1" applyFont="1" applyFill="1" applyBorder="1" applyAlignment="1" applyProtection="1">
      <alignment horizontal="right" vertical="center"/>
      <protection hidden="1"/>
    </xf>
    <xf numFmtId="0" fontId="4" fillId="6" borderId="33" xfId="0" applyFont="1" applyFill="1" applyBorder="1" applyAlignment="1" applyProtection="1">
      <alignment horizontal="center" vertical="center"/>
      <protection hidden="1"/>
    </xf>
    <xf numFmtId="0" fontId="4" fillId="6" borderId="20" xfId="0" applyFont="1" applyFill="1" applyBorder="1" applyAlignment="1" applyProtection="1">
      <alignment horizontal="center" vertical="center"/>
      <protection hidden="1"/>
    </xf>
    <xf numFmtId="166" fontId="4" fillId="6" borderId="20" xfId="1" applyFont="1" applyFill="1" applyBorder="1" applyAlignment="1" applyProtection="1">
      <alignment horizontal="right" vertical="center"/>
      <protection hidden="1"/>
    </xf>
    <xf numFmtId="0" fontId="4" fillId="18" borderId="10" xfId="0" applyFont="1" applyFill="1" applyBorder="1" applyAlignment="1" applyProtection="1">
      <alignment horizontal="center" vertical="center" wrapText="1"/>
      <protection hidden="1"/>
    </xf>
    <xf numFmtId="166" fontId="4" fillId="18" borderId="10" xfId="1" applyFont="1" applyFill="1" applyBorder="1" applyAlignment="1" applyProtection="1">
      <alignment horizontal="right" vertical="center" wrapText="1"/>
      <protection hidden="1"/>
    </xf>
    <xf numFmtId="0" fontId="4" fillId="18" borderId="11" xfId="0" applyFont="1" applyFill="1" applyBorder="1" applyAlignment="1" applyProtection="1">
      <alignment horizontal="center" vertical="center" wrapText="1"/>
      <protection hidden="1"/>
    </xf>
    <xf numFmtId="0" fontId="4" fillId="18" borderId="32" xfId="0" applyFont="1" applyFill="1" applyBorder="1" applyAlignment="1" applyProtection="1">
      <alignment horizontal="center" vertical="center"/>
      <protection hidden="1"/>
    </xf>
    <xf numFmtId="166" fontId="4" fillId="18" borderId="32" xfId="1" applyFont="1" applyFill="1" applyBorder="1" applyAlignment="1" applyProtection="1">
      <alignment horizontal="right" vertical="center"/>
      <protection hidden="1"/>
    </xf>
    <xf numFmtId="0" fontId="4" fillId="18" borderId="34" xfId="0" applyFont="1" applyFill="1" applyBorder="1" applyAlignment="1" applyProtection="1">
      <alignment horizontal="center" vertical="center"/>
      <protection hidden="1"/>
    </xf>
    <xf numFmtId="0" fontId="4" fillId="18" borderId="20" xfId="0" applyFont="1" applyFill="1" applyBorder="1" applyAlignment="1" applyProtection="1">
      <alignment horizontal="center" vertical="center"/>
      <protection hidden="1"/>
    </xf>
    <xf numFmtId="166" fontId="4" fillId="18" borderId="20" xfId="1" applyFont="1" applyFill="1" applyBorder="1" applyAlignment="1" applyProtection="1">
      <alignment horizontal="right" vertical="center"/>
      <protection hidden="1"/>
    </xf>
    <xf numFmtId="0" fontId="4" fillId="18" borderId="8" xfId="0" applyFont="1" applyFill="1" applyBorder="1" applyAlignment="1" applyProtection="1">
      <alignment horizontal="center" vertical="center"/>
      <protection hidden="1"/>
    </xf>
    <xf numFmtId="2" fontId="3" fillId="0" borderId="0" xfId="0" applyNumberFormat="1" applyFont="1" applyFill="1" applyBorder="1" applyAlignment="1">
      <alignment horizontal="center"/>
    </xf>
    <xf numFmtId="0" fontId="4" fillId="0" borderId="5" xfId="0" applyFont="1" applyFill="1" applyBorder="1" applyAlignment="1" applyProtection="1">
      <alignment vertical="center"/>
      <protection hidden="1"/>
    </xf>
    <xf numFmtId="0" fontId="4" fillId="0" borderId="30" xfId="0" applyFont="1" applyFill="1" applyBorder="1" applyAlignment="1" applyProtection="1">
      <alignment vertical="center"/>
      <protection hidden="1"/>
    </xf>
    <xf numFmtId="165" fontId="8" fillId="3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165" fontId="8" fillId="3" borderId="3" xfId="2" applyFont="1" applyFill="1" applyBorder="1" applyAlignment="1" applyProtection="1">
      <alignment horizontal="center" vertical="center"/>
      <protection hidden="1"/>
    </xf>
    <xf numFmtId="165" fontId="8" fillId="3" borderId="36" xfId="2" applyFont="1" applyFill="1" applyBorder="1" applyAlignment="1" applyProtection="1">
      <alignment horizontal="center" vertical="center"/>
      <protection hidden="1"/>
    </xf>
    <xf numFmtId="165" fontId="9" fillId="5" borderId="37" xfId="2" applyFont="1" applyFill="1" applyBorder="1" applyAlignment="1" applyProtection="1">
      <alignment horizontal="center" vertical="center"/>
      <protection hidden="1"/>
    </xf>
    <xf numFmtId="0" fontId="5" fillId="0" borderId="0" xfId="0" applyFont="1" applyFill="1" applyBorder="1" applyAlignment="1" applyProtection="1">
      <alignment horizontal="center" vertical="center"/>
      <protection hidden="1"/>
    </xf>
    <xf numFmtId="165" fontId="5" fillId="0" borderId="16" xfId="2" applyFont="1" applyFill="1" applyBorder="1" applyAlignment="1" applyProtection="1">
      <alignment horizontal="center" vertical="center"/>
      <protection hidden="1"/>
    </xf>
    <xf numFmtId="0" fontId="5" fillId="0" borderId="26" xfId="0" applyFont="1" applyFill="1" applyBorder="1" applyAlignment="1" applyProtection="1">
      <alignment horizontal="center" vertical="center" wrapText="1"/>
      <protection hidden="1"/>
    </xf>
    <xf numFmtId="0" fontId="5" fillId="0" borderId="29" xfId="0" applyFont="1" applyFill="1" applyBorder="1" applyAlignment="1" applyProtection="1">
      <alignment horizontal="center" vertical="center"/>
      <protection hidden="1"/>
    </xf>
    <xf numFmtId="165" fontId="16" fillId="3" borderId="25" xfId="2" applyFont="1" applyFill="1" applyBorder="1" applyAlignment="1" applyProtection="1">
      <alignment horizontal="center" vertical="center"/>
      <protection hidden="1"/>
    </xf>
    <xf numFmtId="165" fontId="9" fillId="3" borderId="43" xfId="2" applyFont="1" applyFill="1" applyBorder="1" applyAlignment="1" applyProtection="1">
      <alignment horizontal="center" vertical="center"/>
      <protection hidden="1"/>
    </xf>
    <xf numFmtId="0" fontId="4" fillId="0" borderId="29" xfId="0" applyFont="1" applyFill="1" applyBorder="1" applyAlignment="1" applyProtection="1">
      <alignment vertical="center"/>
      <protection hidden="1"/>
    </xf>
    <xf numFmtId="165" fontId="9" fillId="5" borderId="44" xfId="2" applyFont="1" applyFill="1" applyBorder="1" applyAlignment="1" applyProtection="1">
      <alignment horizontal="center" vertical="center"/>
      <protection hidden="1"/>
    </xf>
    <xf numFmtId="165" fontId="24" fillId="3" borderId="41" xfId="2" applyFont="1" applyFill="1" applyBorder="1" applyAlignment="1" applyProtection="1">
      <alignment horizontal="center" vertical="center" wrapText="1"/>
      <protection hidden="1"/>
    </xf>
    <xf numFmtId="0" fontId="4" fillId="0" borderId="25" xfId="0" applyFont="1" applyFill="1" applyBorder="1" applyAlignment="1" applyProtection="1">
      <alignment horizontal="center" vertical="center"/>
      <protection hidden="1"/>
    </xf>
    <xf numFmtId="0" fontId="4" fillId="3" borderId="16" xfId="0" applyFont="1" applyFill="1" applyBorder="1" applyAlignment="1" applyProtection="1">
      <alignment horizontal="left" vertical="center"/>
      <protection hidden="1"/>
    </xf>
    <xf numFmtId="165" fontId="3" fillId="0" borderId="16" xfId="2" applyFont="1" applyFill="1" applyBorder="1" applyProtection="1">
      <protection hidden="1"/>
    </xf>
    <xf numFmtId="0" fontId="23" fillId="0" borderId="48" xfId="0" applyFont="1" applyFill="1" applyBorder="1" applyAlignment="1" applyProtection="1">
      <alignment horizontal="center" vertical="center" wrapText="1"/>
      <protection hidden="1"/>
    </xf>
    <xf numFmtId="165" fontId="9" fillId="3" borderId="36" xfId="2" applyFont="1" applyFill="1" applyBorder="1" applyAlignment="1" applyProtection="1">
      <alignment horizontal="center" vertical="center"/>
      <protection hidden="1"/>
    </xf>
    <xf numFmtId="165" fontId="4" fillId="3" borderId="5" xfId="2" applyFont="1" applyFill="1" applyBorder="1" applyAlignment="1" applyProtection="1">
      <alignment vertical="center"/>
      <protection hidden="1"/>
    </xf>
    <xf numFmtId="0" fontId="4" fillId="6" borderId="49" xfId="0" applyFont="1" applyFill="1" applyBorder="1" applyAlignment="1" applyProtection="1">
      <alignment horizontal="center" vertical="center"/>
      <protection hidden="1"/>
    </xf>
    <xf numFmtId="165" fontId="4" fillId="3" borderId="38" xfId="2" applyFont="1" applyFill="1" applyBorder="1" applyAlignment="1" applyProtection="1">
      <alignment horizontal="center" vertical="center"/>
      <protection hidden="1"/>
    </xf>
    <xf numFmtId="165" fontId="4" fillId="3" borderId="30" xfId="2" applyFont="1" applyFill="1" applyBorder="1" applyAlignment="1" applyProtection="1">
      <alignment horizontal="center" vertical="center"/>
      <protection hidden="1"/>
    </xf>
    <xf numFmtId="0" fontId="3" fillId="0" borderId="3" xfId="0" applyFont="1" applyFill="1" applyBorder="1" applyAlignment="1">
      <alignment vertical="center"/>
    </xf>
    <xf numFmtId="0" fontId="4" fillId="0" borderId="1" xfId="0" applyFont="1" applyFill="1" applyBorder="1" applyAlignment="1" applyProtection="1">
      <alignment vertical="center"/>
      <protection hidden="1"/>
    </xf>
    <xf numFmtId="0" fontId="4" fillId="0" borderId="4" xfId="0" applyFont="1" applyFill="1" applyBorder="1" applyAlignment="1" applyProtection="1">
      <alignment vertical="center"/>
      <protection hidden="1"/>
    </xf>
    <xf numFmtId="0" fontId="4" fillId="0" borderId="2" xfId="0" applyFont="1" applyFill="1" applyBorder="1" applyAlignment="1" applyProtection="1">
      <alignment vertical="center"/>
      <protection hidden="1"/>
    </xf>
    <xf numFmtId="0" fontId="4" fillId="0" borderId="16" xfId="0" applyFont="1" applyFill="1" applyBorder="1" applyAlignment="1">
      <alignment vertical="center"/>
    </xf>
    <xf numFmtId="2" fontId="3" fillId="0" borderId="16" xfId="0" applyNumberFormat="1" applyFont="1" applyFill="1" applyBorder="1"/>
    <xf numFmtId="0" fontId="3" fillId="0" borderId="43" xfId="0" applyFont="1" applyFill="1" applyBorder="1" applyAlignment="1">
      <alignment vertical="center"/>
    </xf>
    <xf numFmtId="167" fontId="3" fillId="0" borderId="16" xfId="1" applyNumberFormat="1" applyFont="1" applyFill="1" applyBorder="1" applyProtection="1">
      <protection hidden="1"/>
    </xf>
    <xf numFmtId="166" fontId="16" fillId="3" borderId="46" xfId="2" applyNumberFormat="1" applyFont="1" applyFill="1" applyBorder="1" applyAlignment="1" applyProtection="1">
      <alignment horizontal="center" vertical="center"/>
      <protection hidden="1"/>
    </xf>
    <xf numFmtId="2" fontId="4" fillId="0" borderId="47" xfId="0" applyNumberFormat="1" applyFont="1" applyFill="1" applyBorder="1" applyAlignment="1">
      <alignment horizontal="center" vertical="center"/>
    </xf>
    <xf numFmtId="165" fontId="16" fillId="3" borderId="46" xfId="2" applyFont="1" applyFill="1" applyBorder="1" applyAlignment="1" applyProtection="1">
      <alignment horizontal="center" vertical="center"/>
      <protection hidden="1"/>
    </xf>
    <xf numFmtId="44" fontId="16" fillId="3" borderId="46" xfId="0" applyNumberFormat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horizontal="center" vertical="center" textRotation="90"/>
      <protection hidden="1"/>
    </xf>
    <xf numFmtId="167" fontId="3" fillId="3" borderId="0" xfId="1" applyNumberFormat="1" applyFont="1" applyFill="1" applyBorder="1" applyAlignment="1" applyProtection="1">
      <alignment vertical="center"/>
      <protection hidden="1"/>
    </xf>
    <xf numFmtId="166" fontId="3" fillId="0" borderId="0" xfId="1" applyFont="1" applyFill="1" applyBorder="1" applyAlignment="1" applyProtection="1">
      <alignment horizontal="right" vertical="center"/>
      <protection hidden="1"/>
    </xf>
    <xf numFmtId="166" fontId="3" fillId="0" borderId="0" xfId="1" applyFont="1" applyFill="1" applyBorder="1" applyAlignment="1" applyProtection="1">
      <alignment horizontal="center" vertical="center"/>
      <protection hidden="1"/>
    </xf>
    <xf numFmtId="0" fontId="3" fillId="3" borderId="0" xfId="0" applyFont="1" applyFill="1" applyBorder="1" applyAlignment="1" applyProtection="1">
      <alignment vertical="center" textRotation="90"/>
      <protection hidden="1"/>
    </xf>
    <xf numFmtId="0" fontId="3" fillId="0" borderId="16" xfId="0" applyFont="1" applyFill="1" applyBorder="1" applyAlignment="1" applyProtection="1">
      <alignment vertical="center"/>
      <protection hidden="1"/>
    </xf>
    <xf numFmtId="0" fontId="3" fillId="0" borderId="2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23" fillId="0" borderId="39" xfId="0" applyFont="1" applyFill="1" applyBorder="1" applyAlignment="1" applyProtection="1">
      <alignment horizontal="center" vertical="center"/>
      <protection hidden="1"/>
    </xf>
    <xf numFmtId="0" fontId="3" fillId="0" borderId="25" xfId="0" applyFont="1" applyFill="1" applyBorder="1" applyAlignment="1" applyProtection="1">
      <alignment vertical="center"/>
      <protection hidden="1"/>
    </xf>
    <xf numFmtId="0" fontId="3" fillId="0" borderId="26" xfId="0" applyFont="1" applyFill="1" applyBorder="1" applyAlignment="1" applyProtection="1">
      <alignment vertical="center"/>
      <protection hidden="1"/>
    </xf>
    <xf numFmtId="0" fontId="3" fillId="0" borderId="25" xfId="0" applyFont="1" applyFill="1" applyBorder="1" applyAlignment="1" applyProtection="1">
      <alignment horizontal="center" vertical="center"/>
      <protection hidden="1"/>
    </xf>
    <xf numFmtId="165" fontId="9" fillId="0" borderId="45" xfId="2" applyFont="1" applyFill="1" applyBorder="1" applyAlignment="1" applyProtection="1">
      <alignment horizontal="center" vertical="center"/>
      <protection hidden="1"/>
    </xf>
    <xf numFmtId="165" fontId="9" fillId="0" borderId="13" xfId="2" applyFont="1" applyFill="1" applyBorder="1" applyAlignment="1" applyProtection="1">
      <alignment horizontal="center" vertical="center"/>
      <protection hidden="1"/>
    </xf>
    <xf numFmtId="167" fontId="9" fillId="0" borderId="13" xfId="1" applyNumberFormat="1" applyFont="1" applyFill="1" applyBorder="1" applyAlignment="1" applyProtection="1">
      <alignment horizontal="center" vertical="center"/>
      <protection hidden="1"/>
    </xf>
    <xf numFmtId="165" fontId="9" fillId="0" borderId="40" xfId="2" applyFont="1" applyFill="1" applyBorder="1" applyAlignment="1" applyProtection="1">
      <alignment horizontal="center" vertical="center"/>
      <protection hidden="1"/>
    </xf>
    <xf numFmtId="0" fontId="10" fillId="0" borderId="13" xfId="0" applyFont="1" applyFill="1" applyBorder="1" applyAlignment="1">
      <alignment horizontal="center" vertical="center" wrapText="1"/>
    </xf>
    <xf numFmtId="0" fontId="10" fillId="8" borderId="13" xfId="0" applyFont="1" applyFill="1" applyBorder="1" applyAlignment="1">
      <alignment horizontal="center" vertical="center" wrapText="1"/>
    </xf>
    <xf numFmtId="0" fontId="0" fillId="3" borderId="52" xfId="0" applyFill="1" applyBorder="1"/>
    <xf numFmtId="0" fontId="3" fillId="0" borderId="52" xfId="0" applyFont="1" applyFill="1" applyBorder="1" applyAlignment="1">
      <alignment horizontal="center" vertical="center" wrapText="1"/>
    </xf>
    <xf numFmtId="0" fontId="0" fillId="3" borderId="14" xfId="0" applyFill="1" applyBorder="1"/>
    <xf numFmtId="166" fontId="16" fillId="0" borderId="6" xfId="0" applyNumberFormat="1" applyFont="1" applyFill="1" applyBorder="1" applyAlignment="1">
      <alignment horizontal="center" vertical="center"/>
    </xf>
    <xf numFmtId="0" fontId="13" fillId="13" borderId="53" xfId="0" applyFont="1" applyFill="1" applyBorder="1" applyAlignment="1">
      <alignment horizontal="center" vertical="center" wrapText="1"/>
    </xf>
    <xf numFmtId="165" fontId="16" fillId="3" borderId="0" xfId="2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165" fontId="16" fillId="0" borderId="0" xfId="2" applyFont="1" applyFill="1" applyBorder="1" applyAlignment="1" applyProtection="1">
      <alignment horizontal="center" vertical="center"/>
      <protection hidden="1"/>
    </xf>
    <xf numFmtId="165" fontId="16" fillId="0" borderId="15" xfId="2" applyFont="1" applyFill="1" applyBorder="1" applyAlignment="1" applyProtection="1">
      <alignment horizontal="center" vertical="center"/>
      <protection hidden="1"/>
    </xf>
    <xf numFmtId="0" fontId="4" fillId="0" borderId="5" xfId="0" applyFont="1" applyFill="1" applyBorder="1" applyAlignment="1">
      <alignment horizontal="center"/>
    </xf>
    <xf numFmtId="0" fontId="16" fillId="0" borderId="5" xfId="0" applyFont="1" applyFill="1" applyBorder="1" applyAlignment="1"/>
    <xf numFmtId="2" fontId="16" fillId="0" borderId="5" xfId="0" applyNumberFormat="1" applyFont="1" applyFill="1" applyBorder="1" applyAlignment="1"/>
    <xf numFmtId="0" fontId="16" fillId="0" borderId="27" xfId="0" applyFont="1" applyFill="1" applyBorder="1" applyAlignment="1"/>
    <xf numFmtId="0" fontId="16" fillId="0" borderId="5" xfId="0" applyFont="1" applyFill="1" applyBorder="1" applyAlignment="1" applyProtection="1">
      <protection hidden="1"/>
    </xf>
    <xf numFmtId="2" fontId="16" fillId="0" borderId="5" xfId="0" applyNumberFormat="1" applyFont="1" applyFill="1" applyBorder="1" applyAlignment="1" applyProtection="1">
      <protection hidden="1"/>
    </xf>
    <xf numFmtId="44" fontId="16" fillId="10" borderId="5" xfId="0" applyNumberFormat="1" applyFont="1" applyFill="1" applyBorder="1" applyAlignment="1"/>
    <xf numFmtId="44" fontId="16" fillId="6" borderId="5" xfId="0" applyNumberFormat="1" applyFont="1" applyFill="1" applyBorder="1" applyAlignment="1"/>
    <xf numFmtId="0" fontId="9" fillId="0" borderId="5" xfId="0" applyFont="1" applyBorder="1" applyAlignment="1" applyProtection="1">
      <protection hidden="1"/>
    </xf>
    <xf numFmtId="44" fontId="9" fillId="0" borderId="5" xfId="0" applyNumberFormat="1" applyFont="1" applyBorder="1" applyAlignment="1" applyProtection="1">
      <protection hidden="1"/>
    </xf>
    <xf numFmtId="44" fontId="16" fillId="3" borderId="5" xfId="0" applyNumberFormat="1" applyFont="1" applyFill="1" applyBorder="1" applyAlignment="1" applyProtection="1">
      <protection hidden="1"/>
    </xf>
    <xf numFmtId="44" fontId="16" fillId="0" borderId="5" xfId="0" applyNumberFormat="1" applyFont="1" applyFill="1" applyBorder="1" applyAlignment="1" applyProtection="1">
      <protection hidden="1"/>
    </xf>
    <xf numFmtId="166" fontId="4" fillId="6" borderId="5" xfId="0" applyNumberFormat="1" applyFont="1" applyFill="1" applyBorder="1" applyAlignment="1" applyProtection="1">
      <alignment horizontal="right" vertical="center"/>
      <protection hidden="1"/>
    </xf>
    <xf numFmtId="166" fontId="4" fillId="7" borderId="5" xfId="0" applyNumberFormat="1" applyFont="1" applyFill="1" applyBorder="1" applyAlignment="1" applyProtection="1">
      <alignment horizontal="center" vertical="center"/>
      <protection hidden="1"/>
    </xf>
    <xf numFmtId="166" fontId="16" fillId="17" borderId="5" xfId="0" applyNumberFormat="1" applyFont="1" applyFill="1" applyBorder="1"/>
    <xf numFmtId="166" fontId="16" fillId="8" borderId="5" xfId="0" applyNumberFormat="1" applyFont="1" applyFill="1" applyBorder="1" applyAlignment="1">
      <alignment horizontal="right"/>
    </xf>
    <xf numFmtId="167" fontId="16" fillId="0" borderId="19" xfId="0" applyNumberFormat="1" applyFont="1" applyFill="1" applyBorder="1" applyAlignment="1" applyProtection="1">
      <protection hidden="1"/>
    </xf>
    <xf numFmtId="167" fontId="16" fillId="0" borderId="20" xfId="0" applyNumberFormat="1" applyFont="1" applyFill="1" applyBorder="1" applyAlignment="1" applyProtection="1">
      <protection hidden="1"/>
    </xf>
    <xf numFmtId="44" fontId="16" fillId="6" borderId="29" xfId="0" applyNumberFormat="1" applyFont="1" applyFill="1" applyBorder="1" applyAlignment="1"/>
    <xf numFmtId="44" fontId="16" fillId="0" borderId="30" xfId="0" applyNumberFormat="1" applyFont="1" applyFill="1" applyBorder="1" applyAlignment="1" applyProtection="1">
      <protection hidden="1"/>
    </xf>
    <xf numFmtId="44" fontId="16" fillId="3" borderId="30" xfId="0" applyNumberFormat="1" applyFont="1" applyFill="1" applyBorder="1" applyAlignment="1" applyProtection="1">
      <protection hidden="1"/>
    </xf>
    <xf numFmtId="44" fontId="16" fillId="10" borderId="42" xfId="0" applyNumberFormat="1" applyFont="1" applyFill="1" applyBorder="1" applyAlignment="1"/>
    <xf numFmtId="44" fontId="16" fillId="0" borderId="29" xfId="0" applyNumberFormat="1" applyFont="1" applyFill="1" applyBorder="1" applyAlignment="1" applyProtection="1">
      <protection hidden="1"/>
    </xf>
    <xf numFmtId="166" fontId="16" fillId="0" borderId="5" xfId="0" applyNumberFormat="1" applyFont="1" applyFill="1" applyBorder="1" applyAlignment="1" applyProtection="1">
      <protection hidden="1"/>
    </xf>
    <xf numFmtId="166" fontId="4" fillId="6" borderId="5" xfId="0" applyNumberFormat="1" applyFont="1" applyFill="1" applyBorder="1" applyAlignment="1" applyProtection="1">
      <alignment horizontal="center" vertical="center"/>
      <protection hidden="1"/>
    </xf>
    <xf numFmtId="166" fontId="4" fillId="7" borderId="29" xfId="0" applyNumberFormat="1" applyFont="1" applyFill="1" applyBorder="1" applyAlignment="1" applyProtection="1">
      <alignment horizontal="center" vertical="center"/>
      <protection hidden="1"/>
    </xf>
    <xf numFmtId="166" fontId="17" fillId="3" borderId="5" xfId="0" applyNumberFormat="1" applyFont="1" applyFill="1" applyBorder="1"/>
    <xf numFmtId="166" fontId="16" fillId="3" borderId="5" xfId="0" applyNumberFormat="1" applyFont="1" applyFill="1" applyBorder="1"/>
    <xf numFmtId="166" fontId="16" fillId="8" borderId="5" xfId="0" applyNumberFormat="1" applyFont="1" applyFill="1" applyBorder="1"/>
    <xf numFmtId="44" fontId="9" fillId="0" borderId="30" xfId="0" applyNumberFormat="1" applyFont="1" applyBorder="1" applyAlignment="1" applyProtection="1">
      <protection hidden="1"/>
    </xf>
    <xf numFmtId="44" fontId="9" fillId="3" borderId="29" xfId="0" applyNumberFormat="1" applyFont="1" applyFill="1" applyBorder="1" applyAlignment="1" applyProtection="1">
      <protection hidden="1"/>
    </xf>
    <xf numFmtId="0" fontId="4" fillId="0" borderId="5" xfId="0" applyFont="1" applyFill="1" applyBorder="1"/>
    <xf numFmtId="0" fontId="4" fillId="0" borderId="28" xfId="0" applyFont="1" applyFill="1" applyBorder="1" applyAlignment="1">
      <alignment horizontal="center"/>
    </xf>
    <xf numFmtId="0" fontId="10" fillId="0" borderId="0" xfId="0" applyFont="1" applyFill="1" applyBorder="1" applyAlignment="1"/>
    <xf numFmtId="0" fontId="10" fillId="0" borderId="5" xfId="0" applyFont="1" applyFill="1" applyBorder="1" applyAlignment="1"/>
    <xf numFmtId="166" fontId="16" fillId="3" borderId="51" xfId="0" applyNumberFormat="1" applyFont="1" applyFill="1" applyBorder="1" applyAlignment="1" applyProtection="1">
      <protection hidden="1"/>
    </xf>
    <xf numFmtId="44" fontId="16" fillId="3" borderId="52" xfId="0" applyNumberFormat="1" applyFont="1" applyFill="1" applyBorder="1" applyAlignment="1" applyProtection="1">
      <protection hidden="1"/>
    </xf>
    <xf numFmtId="0" fontId="0" fillId="3" borderId="53" xfId="0" applyFill="1" applyBorder="1"/>
    <xf numFmtId="166" fontId="4" fillId="0" borderId="29" xfId="0" applyNumberFormat="1" applyFont="1" applyFill="1" applyBorder="1" applyAlignment="1">
      <alignment horizontal="center" vertical="center"/>
    </xf>
    <xf numFmtId="165" fontId="12" fillId="12" borderId="25" xfId="2" applyFont="1" applyFill="1" applyBorder="1" applyAlignment="1" applyProtection="1">
      <alignment horizontal="center" vertical="center" wrapText="1"/>
      <protection hidden="1"/>
    </xf>
    <xf numFmtId="165" fontId="9" fillId="0" borderId="56" xfId="2" applyFont="1" applyFill="1" applyBorder="1" applyAlignment="1" applyProtection="1">
      <alignment horizontal="center" vertical="center"/>
      <protection hidden="1"/>
    </xf>
    <xf numFmtId="164" fontId="9" fillId="5" borderId="57" xfId="2" applyNumberFormat="1" applyFont="1" applyFill="1" applyBorder="1" applyAlignment="1" applyProtection="1">
      <alignment horizontal="center" vertical="center"/>
      <protection hidden="1"/>
    </xf>
    <xf numFmtId="165" fontId="16" fillId="0" borderId="20" xfId="0" applyNumberFormat="1" applyFont="1" applyFill="1" applyBorder="1" applyAlignment="1" applyProtection="1">
      <protection hidden="1"/>
    </xf>
    <xf numFmtId="165" fontId="16" fillId="0" borderId="5" xfId="0" applyNumberFormat="1" applyFont="1" applyFill="1" applyBorder="1" applyAlignment="1" applyProtection="1">
      <protection hidden="1"/>
    </xf>
    <xf numFmtId="166" fontId="4" fillId="0" borderId="20" xfId="0" applyNumberFormat="1" applyFont="1" applyFill="1" applyBorder="1" applyAlignment="1">
      <alignment horizontal="right"/>
    </xf>
    <xf numFmtId="0" fontId="9" fillId="0" borderId="12" xfId="0" applyFont="1" applyBorder="1"/>
    <xf numFmtId="0" fontId="3" fillId="3" borderId="0" xfId="0" applyFont="1" applyFill="1" applyBorder="1" applyAlignment="1">
      <alignment horizontal="center"/>
    </xf>
    <xf numFmtId="0" fontId="4" fillId="0" borderId="53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54" xfId="0" applyFont="1" applyFill="1" applyBorder="1" applyAlignment="1">
      <alignment horizontal="center" vertical="center"/>
    </xf>
    <xf numFmtId="0" fontId="20" fillId="0" borderId="46" xfId="0" applyFont="1" applyFill="1" applyBorder="1" applyAlignment="1" applyProtection="1">
      <alignment horizontal="center" vertical="center" textRotation="90"/>
      <protection hidden="1"/>
    </xf>
    <xf numFmtId="0" fontId="20" fillId="0" borderId="47" xfId="0" applyFont="1" applyFill="1" applyBorder="1" applyAlignment="1" applyProtection="1">
      <alignment horizontal="center" vertical="center" textRotation="90"/>
      <protection hidden="1"/>
    </xf>
    <xf numFmtId="0" fontId="20" fillId="0" borderId="41" xfId="0" applyFont="1" applyFill="1" applyBorder="1" applyAlignment="1">
      <alignment horizontal="center" vertical="center" textRotation="90"/>
    </xf>
    <xf numFmtId="0" fontId="4" fillId="0" borderId="41" xfId="0" applyFont="1" applyFill="1" applyBorder="1" applyAlignment="1">
      <alignment horizontal="center" vertical="center" textRotation="90"/>
    </xf>
    <xf numFmtId="0" fontId="3" fillId="5" borderId="1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6" fillId="0" borderId="6" xfId="0" applyFont="1" applyFill="1" applyBorder="1" applyAlignment="1" applyProtection="1">
      <alignment horizontal="center" vertical="center"/>
      <protection hidden="1"/>
    </xf>
    <xf numFmtId="0" fontId="16" fillId="0" borderId="38" xfId="0" applyFont="1" applyFill="1" applyBorder="1" applyAlignment="1" applyProtection="1">
      <alignment horizontal="center" vertical="center"/>
      <protection hidden="1"/>
    </xf>
    <xf numFmtId="0" fontId="16" fillId="0" borderId="16" xfId="0" applyFont="1" applyFill="1" applyBorder="1" applyAlignment="1" applyProtection="1">
      <alignment horizontal="center" vertical="center"/>
      <protection hidden="1"/>
    </xf>
    <xf numFmtId="165" fontId="9" fillId="3" borderId="29" xfId="2" applyFont="1" applyFill="1" applyBorder="1" applyAlignment="1" applyProtection="1">
      <alignment horizontal="center" vertical="center"/>
      <protection hidden="1"/>
    </xf>
    <xf numFmtId="165" fontId="9" fillId="3" borderId="5" xfId="2" applyFont="1" applyFill="1" applyBorder="1" applyAlignment="1" applyProtection="1">
      <alignment horizontal="center" vertical="center"/>
      <protection hidden="1"/>
    </xf>
    <xf numFmtId="165" fontId="9" fillId="3" borderId="55" xfId="2" applyFont="1" applyFill="1" applyBorder="1" applyAlignment="1" applyProtection="1">
      <alignment horizontal="center" vertical="center"/>
      <protection hidden="1"/>
    </xf>
    <xf numFmtId="0" fontId="20" fillId="3" borderId="46" xfId="0" applyFont="1" applyFill="1" applyBorder="1" applyAlignment="1" applyProtection="1">
      <alignment horizontal="center" vertical="center" textRotation="90"/>
      <protection hidden="1"/>
    </xf>
    <xf numFmtId="0" fontId="3" fillId="3" borderId="47" xfId="0" applyFont="1" applyFill="1" applyBorder="1" applyAlignment="1" applyProtection="1">
      <alignment horizontal="center" vertical="center" textRotation="90"/>
      <protection hidden="1"/>
    </xf>
    <xf numFmtId="0" fontId="3" fillId="3" borderId="35" xfId="0" applyFont="1" applyFill="1" applyBorder="1" applyAlignment="1" applyProtection="1">
      <alignment horizontal="center" vertical="center" textRotation="90"/>
      <protection hidden="1"/>
    </xf>
    <xf numFmtId="0" fontId="3" fillId="0" borderId="47" xfId="0" applyFont="1" applyFill="1" applyBorder="1" applyAlignment="1" applyProtection="1">
      <alignment horizontal="center" vertical="center" textRotation="90"/>
      <protection hidden="1"/>
    </xf>
    <xf numFmtId="0" fontId="3" fillId="0" borderId="35" xfId="0" applyFont="1" applyFill="1" applyBorder="1" applyAlignment="1" applyProtection="1">
      <alignment horizontal="center" vertical="center" textRotation="90"/>
      <protection hidden="1"/>
    </xf>
    <xf numFmtId="165" fontId="20" fillId="0" borderId="46" xfId="2" applyFont="1" applyFill="1" applyBorder="1" applyAlignment="1" applyProtection="1">
      <alignment horizontal="center" vertical="center" textRotation="90"/>
      <protection hidden="1"/>
    </xf>
    <xf numFmtId="165" fontId="3" fillId="0" borderId="47" xfId="2" applyFont="1" applyFill="1" applyBorder="1" applyAlignment="1" applyProtection="1">
      <alignment horizontal="center" vertical="center" textRotation="90"/>
      <protection hidden="1"/>
    </xf>
    <xf numFmtId="165" fontId="3" fillId="0" borderId="35" xfId="2" applyFont="1" applyFill="1" applyBorder="1" applyAlignment="1" applyProtection="1">
      <alignment horizontal="center" vertical="center" textRotation="90"/>
      <protection hidden="1"/>
    </xf>
    <xf numFmtId="13" fontId="3" fillId="0" borderId="0" xfId="0" applyNumberFormat="1" applyFont="1" applyFill="1" applyBorder="1" applyAlignment="1" applyProtection="1">
      <alignment horizontal="center"/>
      <protection hidden="1"/>
    </xf>
    <xf numFmtId="0" fontId="4" fillId="19" borderId="9" xfId="0" applyFont="1" applyFill="1" applyBorder="1" applyAlignment="1" applyProtection="1">
      <alignment horizontal="center" vertical="center"/>
      <protection hidden="1"/>
    </xf>
    <xf numFmtId="0" fontId="4" fillId="19" borderId="10" xfId="0" applyFont="1" applyFill="1" applyBorder="1" applyAlignment="1" applyProtection="1">
      <alignment horizontal="center" vertical="center"/>
      <protection hidden="1"/>
    </xf>
    <xf numFmtId="0" fontId="4" fillId="19" borderId="14" xfId="0" applyFont="1" applyFill="1" applyBorder="1" applyAlignment="1" applyProtection="1">
      <alignment horizontal="center" vertical="center"/>
      <protection hidden="1"/>
    </xf>
    <xf numFmtId="0" fontId="4" fillId="19" borderId="0" xfId="0" applyFont="1" applyFill="1" applyBorder="1" applyAlignment="1" applyProtection="1">
      <alignment horizontal="center" vertical="center"/>
      <protection hidden="1"/>
    </xf>
    <xf numFmtId="0" fontId="4" fillId="19" borderId="19" xfId="0" applyFont="1" applyFill="1" applyBorder="1" applyAlignment="1" applyProtection="1">
      <alignment horizontal="center" vertical="center"/>
      <protection hidden="1"/>
    </xf>
    <xf numFmtId="0" fontId="4" fillId="19" borderId="20" xfId="0" applyFont="1" applyFill="1" applyBorder="1" applyAlignment="1" applyProtection="1">
      <alignment horizontal="center" vertical="center"/>
      <protection hidden="1"/>
    </xf>
    <xf numFmtId="165" fontId="16" fillId="0" borderId="16" xfId="2" applyFont="1" applyFill="1" applyBorder="1" applyAlignment="1" applyProtection="1">
      <alignment horizontal="center" vertical="center"/>
      <protection hidden="1"/>
    </xf>
    <xf numFmtId="0" fontId="4" fillId="6" borderId="10" xfId="0" applyFont="1" applyFill="1" applyBorder="1" applyAlignment="1" applyProtection="1">
      <alignment horizontal="center" vertical="center"/>
      <protection hidden="1"/>
    </xf>
    <xf numFmtId="0" fontId="4" fillId="6" borderId="11" xfId="0" applyFont="1" applyFill="1" applyBorder="1" applyAlignment="1" applyProtection="1">
      <alignment horizontal="center" vertical="center"/>
      <protection hidden="1"/>
    </xf>
    <xf numFmtId="0" fontId="4" fillId="6" borderId="0" xfId="0" applyFont="1" applyFill="1" applyBorder="1" applyAlignment="1" applyProtection="1">
      <alignment horizontal="center" vertical="center"/>
      <protection hidden="1"/>
    </xf>
    <xf numFmtId="0" fontId="4" fillId="6" borderId="15" xfId="0" applyFont="1" applyFill="1" applyBorder="1" applyAlignment="1" applyProtection="1">
      <alignment horizontal="center" vertical="center"/>
      <protection hidden="1"/>
    </xf>
    <xf numFmtId="0" fontId="4" fillId="7" borderId="9" xfId="0" applyFont="1" applyFill="1" applyBorder="1" applyAlignment="1" applyProtection="1">
      <alignment horizontal="center" vertical="center"/>
      <protection hidden="1"/>
    </xf>
    <xf numFmtId="0" fontId="4" fillId="7" borderId="10" xfId="0" applyFont="1" applyFill="1" applyBorder="1" applyAlignment="1" applyProtection="1">
      <alignment horizontal="center" vertical="center"/>
      <protection hidden="1"/>
    </xf>
    <xf numFmtId="0" fontId="4" fillId="7" borderId="14" xfId="0" applyFont="1" applyFill="1" applyBorder="1" applyAlignment="1" applyProtection="1">
      <alignment horizontal="center" vertical="center"/>
      <protection hidden="1"/>
    </xf>
    <xf numFmtId="0" fontId="4" fillId="7" borderId="0" xfId="0" applyFont="1" applyFill="1" applyBorder="1" applyAlignment="1" applyProtection="1">
      <alignment horizontal="center" vertical="center"/>
      <protection hidden="1"/>
    </xf>
    <xf numFmtId="0" fontId="4" fillId="7" borderId="19" xfId="0" applyFont="1" applyFill="1" applyBorder="1" applyAlignment="1" applyProtection="1">
      <alignment horizontal="center" vertical="center"/>
      <protection hidden="1"/>
    </xf>
    <xf numFmtId="0" fontId="4" fillId="7" borderId="20" xfId="0" applyFont="1" applyFill="1" applyBorder="1" applyAlignment="1" applyProtection="1">
      <alignment horizontal="center" vertical="center"/>
      <protection hidden="1"/>
    </xf>
    <xf numFmtId="165" fontId="20" fillId="0" borderId="25" xfId="2" applyFont="1" applyFill="1" applyBorder="1" applyAlignment="1" applyProtection="1">
      <alignment horizontal="center" vertical="center" textRotation="90"/>
      <protection hidden="1"/>
    </xf>
    <xf numFmtId="165" fontId="3" fillId="0" borderId="25" xfId="2" applyFont="1" applyFill="1" applyBorder="1" applyAlignment="1" applyProtection="1">
      <alignment horizontal="center" vertical="center" textRotation="90"/>
      <protection hidden="1"/>
    </xf>
    <xf numFmtId="0" fontId="4" fillId="18" borderId="10" xfId="0" applyFont="1" applyFill="1" applyBorder="1" applyAlignment="1" applyProtection="1">
      <alignment horizontal="center" vertical="center"/>
      <protection hidden="1"/>
    </xf>
    <xf numFmtId="0" fontId="4" fillId="18" borderId="11" xfId="0" applyFont="1" applyFill="1" applyBorder="1" applyAlignment="1" applyProtection="1">
      <alignment horizontal="center" vertical="center"/>
      <protection hidden="1"/>
    </xf>
    <xf numFmtId="0" fontId="4" fillId="18" borderId="0" xfId="0" applyFont="1" applyFill="1" applyBorder="1" applyAlignment="1" applyProtection="1">
      <alignment horizontal="center" vertical="center"/>
      <protection hidden="1"/>
    </xf>
    <xf numFmtId="0" fontId="4" fillId="18" borderId="15" xfId="0" applyFont="1" applyFill="1" applyBorder="1" applyAlignment="1" applyProtection="1">
      <alignment horizontal="center" vertical="center"/>
      <protection hidden="1"/>
    </xf>
    <xf numFmtId="0" fontId="4" fillId="18" borderId="20" xfId="0" applyFont="1" applyFill="1" applyBorder="1" applyAlignment="1" applyProtection="1">
      <alignment horizontal="center" vertical="center"/>
      <protection hidden="1"/>
    </xf>
    <xf numFmtId="0" fontId="4" fillId="18" borderId="8" xfId="0" applyFont="1" applyFill="1" applyBorder="1" applyAlignment="1" applyProtection="1">
      <alignment horizontal="center" vertical="center"/>
      <protection hidden="1"/>
    </xf>
  </cellXfs>
  <cellStyles count="5">
    <cellStyle name="Comma" xfId="1" builtinId="3"/>
    <cellStyle name="Currency" xfId="2" builtinId="4"/>
    <cellStyle name="Good" xfId="3" builtinId="26"/>
    <cellStyle name="Hyperlink" xfId="4" builtinId="8"/>
    <cellStyle name="Normal" xfId="0" builtinId="0"/>
  </cellStyles>
  <dxfs count="22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6" formatCode="_(* #,##0.00_);_(* \(#,##0.00\);_(* &quot;-&quot;??_);_(@_)"/>
      <alignment horizontal="center" vertical="center" textRotation="0" indent="0" justifyLastLine="0" shrinkToFit="0" readingOrder="0"/>
      <border diagonalUp="0" diagonalDown="0" outline="0">
        <left/>
        <right style="thick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6" formatCode="_(* #,##0.00_);_(* \(#,##0.00\);_(* &quot;-&quot;??_);_(@_)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6" formatCode="_(* #,##0.00_);_(* \(#,##0.00\);_(* &quot;-&quot;??_);_(@_)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166" formatCode="_(* #,##0.00_);_(* \(#,##0.00\);_(* &quot;-&quot;??_);_(@_)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166" formatCode="_(* #,##0.00_);_(* \(#,##0.00\);_(* &quot;-&quot;??_);_(@_)"/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2" tint="-9.9978637043366805E-2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6" tint="0.39997558519241921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2" tint="-9.9978637043366805E-2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theme="0"/>
        </patternFill>
      </fill>
      <border diagonalUp="0" diagonalDown="0" outline="0">
        <left style="thick">
          <color indexed="64"/>
        </left>
        <right/>
        <top style="thick">
          <color indexed="64"/>
        </top>
        <bottom style="thick">
          <color indexed="64"/>
        </bottom>
      </border>
    </dxf>
    <dxf>
      <fill>
        <patternFill patternType="solid">
          <fgColor indexed="64"/>
          <bgColor theme="0"/>
        </patternFill>
      </fill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9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right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numFmt numFmtId="166" formatCode="_(* #,##0.00_);_(* \(#,##0.00\);_(* &quot;-&quot;??_);_(@_)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thick">
          <color indexed="64"/>
        </top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6" formatCode="_(* #,##0.00_);_(* \(#,##0.00\);_(* &quot;-&quot;??_);_(@_)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5" formatCode="_(&quot;$&quot;* #,##0.00_);_(&quot;$&quot;* \(#,##0.00\);_(&quot;$&quot;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7" formatCode="_(* #,##0.000_);_(* \(#,##0.00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7" formatCode="_(* #,##0.000_);_(* \(#,##0.000\);_(* &quot;-&quot;??_);_(@_)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medium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8" formatCode="_(* #,##0_);_(* \(#,##0\);_(* &quot;-&quot;??_);_(@_)"/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7F7F7F"/>
        </top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rgb="FF7F7F7F"/>
        </top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  <border diagonalUp="0" diagonalDown="0">
        <left/>
        <right style="thick">
          <color indexed="64"/>
        </right>
        <vertic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/>
        <vertic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/>
        <right style="thick">
          <color indexed="64"/>
        </right>
        <vertic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  <border diagonalUp="0" diagonalDown="0">
        <left style="thick">
          <color indexed="64"/>
        </left>
        <right/>
        <vertic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 style="thick">
          <color indexed="64"/>
        </top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FFFF00"/>
        </patternFill>
      </fill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numFmt numFmtId="34" formatCode="_-&quot;$&quot;* #,##0.00_-;\-&quot;$&quot;* #,##0.00_-;_-&quot;$&quot;* &quot;-&quot;??_-;_-@_-"/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00B0F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 style="thick">
          <color indexed="64"/>
        </right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00B0F0"/>
        </patternFill>
      </fill>
      <alignment horizontal="center" vertical="center" textRotation="0" wrapText="0" indent="0" justifyLastLine="0" shrinkToFit="0" readingOrder="0"/>
      <border diagonalUp="0" diagonalDown="0">
        <left style="thick">
          <color indexed="64"/>
        </left>
        <right style="thick">
          <color indexed="64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general" vertical="bottom" textRotation="0" wrapText="0" indent="0" justifyLastLine="0" shrinkToFit="0" readingOrder="0"/>
      <border diagonalUp="0" diagonalDown="0" outline="0">
        <left style="thick">
          <color indexed="64"/>
        </left>
        <right/>
        <top/>
        <bottom style="thick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alignment horizontal="general" vertical="bottom" textRotation="0" wrapText="0" indent="0" justifyLastLine="0" shrinkToFit="0" readingOrder="0"/>
      <border diagonalUp="0" diagonalDown="0" outline="0">
        <left/>
        <right style="thick">
          <color indexed="64"/>
        </right>
        <top/>
        <bottom style="thick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2"/>
        <name val="Calibri"/>
        <family val="2"/>
        <scheme val="minor"/>
      </font>
      <alignment horizontal="center" vertical="center" textRotation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theme="4" tint="0.3999755851924192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00B0F0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34" formatCode="_-&quot;$&quot;* #,##0.00_-;\-&quot;$&quot;* #,##0.00_-;_-&quot;$&quot;* &quot;-&quot;??_-;_-@_-"/>
      <fill>
        <patternFill patternType="solid">
          <fgColor indexed="64"/>
          <bgColor rgb="FF00B0F0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 style="thick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/>
        <vertAlign val="baseline"/>
        <sz val="12"/>
        <color rgb="FFC00000"/>
        <name val="Calibri"/>
        <family val="2"/>
        <scheme val="minor"/>
      </font>
      <numFmt numFmtId="2" formatCode="0.0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</border>
    </dxf>
    <dxf>
      <font>
        <b/>
        <i val="0"/>
        <strike val="0"/>
        <outline val="0"/>
        <shadow val="0"/>
        <u val="none"/>
        <vertAlign val="baseline"/>
        <sz val="12"/>
        <color theme="1"/>
        <name val="Cordia New"/>
        <family val="2"/>
        <scheme val="none"/>
      </font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  <alignment horizontal="center" vertical="center" textRotation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rdia Ne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6:DH8" totalsRowCount="1" headerRowDxfId="225" dataDxfId="223" totalsRowDxfId="222" headerRowBorderDxfId="224">
  <autoFilter ref="A6:DH7"/>
  <sortState ref="A7:DH7">
    <sortCondition descending="1" ref="C6:C7"/>
  </sortState>
  <tableColumns count="112">
    <tableColumn id="2" name="ID CODE" dataDxfId="221" totalsRowDxfId="220"/>
    <tableColumn id="3" name="AREA" dataDxfId="219" totalsRowDxfId="218"/>
    <tableColumn id="4" name="LOCATION" dataDxfId="217" totalsRowDxfId="216"/>
    <tableColumn id="5" name="WIDTH (M)" dataDxfId="215" totalsRowDxfId="214"/>
    <tableColumn id="6" name="HEIGHT (M)" dataDxfId="213" totalsRowDxfId="212"/>
    <tableColumn id="72" name="Beach Front (x)" dataDxfId="211" totalsRowDxfId="210"/>
    <tableColumn id="69" name="Outside       (x) " dataDxfId="209" totalsRowDxfId="208"/>
    <tableColumn id="73" name="Scaffold (x)" dataDxfId="207" totalsRowDxfId="206"/>
    <tableColumn id="43" name="ARCH(x)" dataDxfId="205" totalsRowDxfId="204"/>
    <tableColumn id="77" name="WIDTH (INCH)" dataDxfId="203" totalsRowDxfId="202"/>
    <tableColumn id="76" name="HEIGHT (INCH)" dataDxfId="201" totalsRowDxfId="200"/>
    <tableColumn id="65" name="($) PER PLASCORE SQFT" dataDxfId="199" totalsRowDxfId="198">
      <calculatedColumnFormula>IFERROR(Tabla1[RETAIL TOTAL PRICE (SALES PRICE)]/AT$7,0)</calculatedColumnFormula>
    </tableColumn>
    <tableColumn id="104" name="RETAIL TOTAL PRICE (SALES PRICE)" totalsRowFunction="sum" dataDxfId="197" totalsRowDxfId="196">
      <calculatedColumnFormula>Tabla1[TOTAL INSTALLATION]+Tabla1[RETAIL FABRICATION PRICE (SALES PRICE)]</calculatedColumnFormula>
    </tableColumn>
    <tableColumn id="108" name="RETAIL FABRICATION PRICE (SALES PRICE)" totalsRowFunction="sum" dataDxfId="195" totalsRowDxfId="194">
      <calculatedColumnFormula>IFERROR((AA7*1.06),0)</calculatedColumnFormula>
    </tableColumn>
    <tableColumn id="103" name="TOTAL INSTALLATION" totalsRowFunction="sum" dataDxfId="193" totalsRowDxfId="192">
      <calculatedColumnFormula>Tabla1[INSTALLATION PROFIT]+Tabla1[[INSTALLATION ]]+Tabla1[SCAFFOLDING IF NECCESARY]+Tabla1[[#This Row],[SPECIAL LABOR
($)]]</calculatedColumnFormula>
    </tableColumn>
    <tableColumn id="111" name="SPECIAL " dataDxfId="191" totalsRowDxfId="190" dataCellStyle="Normal"/>
    <tableColumn id="36" name="SPECIAL PARTS_x000a_($)" totalsRowFunction="sum" dataDxfId="189" totalsRowDxfId="188"/>
    <tableColumn id="75" name="SPECIAL LABOR_x000a_($)" totalsRowFunction="sum" dataDxfId="187" totalsRowDxfId="186"/>
    <tableColumn id="66" name="PRICE QUOTE" dataDxfId="185" totalsRowDxfId="184"/>
    <tableColumn id="64" name="RETAIL TOTAL PRICE (SALES PRICE,INSTALLATION, FABRICATION)" totalsRowFunction="custom" dataDxfId="183" totalsRowDxfId="182">
      <calculatedColumnFormula>Tabla1[TOTAL INSTALLATION]+Tabla1[RETAIL FABRICATION PRICE (SALES PRICE)]</calculatedColumnFormula>
      <totalsRowFormula>SUBTOTAL(109,Tabla1[RETAIL TOTAL PRICE (SALES PRICE)])</totalsRowFormula>
    </tableColumn>
    <tableColumn id="27" name="TOTAL INSTALLATION2" totalsRowFunction="custom" dataDxfId="181" totalsRowDxfId="180">
      <calculatedColumnFormula>Tabla1[INSTALLATION PROFIT]+Tabla1[[INSTALLATION ]]+Tabla1[SCAFFOLDING IF NECCESARY]+Tabla1[[#This Row],[SPECIAL LABOR
($)]]</calculatedColumnFormula>
      <totalsRowFormula>SUBTOTAL(109,Tabla1[TOTAL INSTALLATION])</totalsRowFormula>
    </tableColumn>
    <tableColumn id="109" name="INSTALLATION PROFIT" totalsRowFunction="sum" dataDxfId="179" totalsRowDxfId="178">
      <calculatedColumnFormula>(Tabla1[[INSTALLATION ]]*V$5)/(1-V$5)</calculatedColumnFormula>
    </tableColumn>
    <tableColumn id="105" name="INSTALLATION " totalsRowFunction="sum" dataDxfId="177" totalsRowDxfId="176">
      <calculatedColumnFormula>IF(Tabla1[INCH/METER TO INCH WIDTH]&gt;0,(IFERROR(((((AJ7*2)+(AK7*2))/18)+(AR7-1)*4)*W$5,0)),0)</calculatedColumnFormula>
    </tableColumn>
    <tableColumn id="102" name="SCAFFOLDING IF NECCESARY" totalsRowFunction="sum" dataDxfId="175" totalsRowDxfId="174">
      <calculatedColumnFormula>IF(Tabla1[Scaffold (x)]="x",X$5,0)</calculatedColumnFormula>
    </tableColumn>
    <tableColumn id="67" name="Columna2" dataDxfId="173" totalsRowDxfId="172"/>
    <tableColumn id="35" name="RETAIL FABRICATION PRICE (SALES PRICE)2" totalsRowFunction="custom" dataDxfId="171" totalsRowDxfId="170">
      <calculatedColumnFormula>IFERROR((Tabla1[WHOLESALE FABRICATION PRICE]*1.06),0)</calculatedColumnFormula>
      <totalsRowFormula>SUBTOTAL(109,Tabla1[RETAIL FABRICATION PRICE (SALES PRICE)])</totalsRowFormula>
    </tableColumn>
    <tableColumn id="19" name="WHOLESALE FABRICATION PRICE" totalsRowFunction="sum" dataDxfId="169" totalsRowDxfId="168">
      <calculatedColumnFormula>Tabla1[[#This Row],[PROFIT]]+Tabla1[[#This Row],[UNIT COST  (MATERIALS + FABRICATION)]]+Tabla1[[#This Row],[ARCH FEE 
(25% FEE)]]+Tabla1[[#This Row],[SPECIAL PARTS
($)]]</calculatedColumnFormula>
    </tableColumn>
    <tableColumn id="56" name="PROFIT" totalsRowFunction="sum" dataDxfId="167" totalsRowDxfId="166">
      <calculatedColumnFormula>(Tabla1[[#This Row],[UNIT COST  (MATERIALS + FABRICATION)]]*AB$5)/(1-AB$5)</calculatedColumnFormula>
    </tableColumn>
    <tableColumn id="20" name="UNIT COST  (MATERIALS + FABRICATION)" totalsRowFunction="sum" dataDxfId="165" totalsRowDxfId="164">
      <calculatedColumnFormula>AE7+AF7</calculatedColumnFormula>
    </tableColumn>
    <tableColumn id="57" name="ARCH FEE _x000a_(25% FEE)" totalsRowFunction="sum" dataDxfId="163" totalsRowDxfId="162">
      <calculatedColumnFormula>IF(Tabla1[[#This Row],[ARCH(x)]]="x",(Tabla1[[#This Row],[PROFIT]]+Tabla1[[#This Row],[UNIT COST  (MATERIALS + FABRICATION)]])*0.25,0)</calculatedColumnFormula>
    </tableColumn>
    <tableColumn id="23" name="TOTAL MATERIALS (PLASCORE + ALUMN + HARDWARE)" totalsRowFunction="sum" dataDxfId="161" totalsRowDxfId="160">
      <calculatedColumnFormula>Tabla1[PLASCORE COST]+Tabla1[ALUMUNUM COST]+Tabla1[HARDWARE COST]</calculatedColumnFormula>
    </tableColumn>
    <tableColumn id="22" name="TOTAL FABRICATION LABOR_x000a_(PREP + DESIGN)" totalsRowFunction="sum" dataDxfId="159" totalsRowDxfId="158">
      <calculatedColumnFormula>Tabla1[PREPPING]+Tabla1[DESIGN]</calculatedColumnFormula>
    </tableColumn>
    <tableColumn id="24" name="PREPPING" totalsRowFunction="sum" dataDxfId="157" totalsRowDxfId="156">
      <calculatedColumnFormula>IF(Tabla1[INCH/METER TO INCH WIDTH]&gt;0,(IFERROR(((((AJ7*2)+(AK7*2))/18)+(AR7-1)*4)*AG$5,0)),0)</calculatedColumnFormula>
    </tableColumn>
    <tableColumn id="25" name="DESIGN" totalsRowFunction="sum" dataDxfId="155" totalsRowDxfId="154">
      <calculatedColumnFormula>IF(Tabla1[INCH/METER TO INCH WIDTH]&gt;0,(IFERROR(((((AJ7*2)+(AK7*2))/18)+(AR7-1)*4)*AH$5,0)),0)</calculatedColumnFormula>
    </tableColumn>
    <tableColumn id="74" name="c" dataDxfId="153" totalsRowDxfId="152"/>
    <tableColumn id="8" name="INCH/METER TO INCH WIDTH" dataDxfId="151" totalsRowDxfId="150">
      <calculatedColumnFormula>IF(Tabla1[WIDTH (M)]&gt;0.0001,Tabla1[WIDTH (M)]*39.37,J7)</calculatedColumnFormula>
    </tableColumn>
    <tableColumn id="9" name="INCH/METER TO INCH HEIGHT" dataDxfId="149" totalsRowDxfId="148">
      <calculatedColumnFormula>IF(Tabla1[HEIGHT (M)]&gt;0.0001,Tabla1[HEIGHT (M)]*39.37,K7)</calculatedColumnFormula>
    </tableColumn>
    <tableColumn id="70" name="Perimeter ALUM Linear ft" dataDxfId="147" totalsRowDxfId="146">
      <calculatedColumnFormula>((Tabla1[INCH/METER TO INCH HEIGHT]+Tabla1[INCH/METER TO INCH WIDTH])*2)/12</calculatedColumnFormula>
    </tableColumn>
    <tableColumn id="71" name="Perimeter ALUM linear foot + 15%" dataDxfId="145" totalsRowDxfId="144">
      <calculatedColumnFormula>Tabla1[Perimeter ALUM Linear ft]*1.15</calculatedColumnFormula>
    </tableColumn>
    <tableColumn id="32" name="Perimter of each panel FT" dataDxfId="143" totalsRowDxfId="142">
      <calculatedColumnFormula>((Tabla1[WIDTH]+Tabla1[HEIGHT])*2)/12</calculatedColumnFormula>
    </tableColumn>
    <tableColumn id="10" name="WIDTH" dataDxfId="141" totalsRowDxfId="140">
      <calculatedColumnFormula>IFERROR((AJ7)/AR7,0)</calculatedColumnFormula>
    </tableColumn>
    <tableColumn id="11" name="HEIGHT" dataDxfId="139" totalsRowDxfId="138">
      <calculatedColumnFormula>AK7</calculatedColumnFormula>
    </tableColumn>
    <tableColumn id="12" name="PANELS QUANTITIES CALC." dataDxfId="137" totalsRowDxfId="136">
      <calculatedColumnFormula>IF(AK7&lt;120.01,AJ7/42,IF(AND(AK7&lt;132.01,AK7&gt;120),AJ7/41,IF(AND(AK7&lt;144.01,AK7&gt;132),AJ7/40,IF(AND(AK7&lt;156.01,AK7&gt;144),AJ7/39,IF(AND(AK7&lt;168.01,AK7&gt;156),AJ7/39,IF(AK7&gt;168,"Not Certified",0))))))</calculatedColumnFormula>
    </tableColumn>
    <tableColumn id="14" name="PANELS QTY" totalsRowFunction="sum" dataDxfId="135" totalsRowDxfId="134">
      <calculatedColumnFormula>IFERROR(ROUNDUP((AQ7),0),0)</calculatedColumnFormula>
    </tableColumn>
    <tableColumn id="107" name="H POST QTY" totalsRowFunction="sum" dataDxfId="133" totalsRowDxfId="132">
      <calculatedColumnFormula>IF(Tabla1[PANELS QTY]&gt;1,Tabla1[PANELS QTY]-1,0)</calculatedColumnFormula>
    </tableColumn>
    <tableColumn id="15" name="PLASCORE SQFT" totalsRowFunction="sum" dataDxfId="131" totalsRowDxfId="130">
      <calculatedColumnFormula>(AJ7/12)*(AK7/12)</calculatedColumnFormula>
    </tableColumn>
    <tableColumn id="16" name="PLASCORE SQFT + 5% WASTE" dataDxfId="129" totalsRowDxfId="128">
      <calculatedColumnFormula>IFERROR(AT7*1.05,0)</calculatedColumnFormula>
    </tableColumn>
    <tableColumn id="17" name="($) PER PLASCORE SQFT2" dataDxfId="127" totalsRowDxfId="126">
      <calculatedColumnFormula>IFERROR(Tabla1[RETAIL TOTAL PRICE (SALES PRICE)]/AT$7,0)</calculatedColumnFormula>
    </tableColumn>
    <tableColumn id="112" name="c3" dataDxfId="125" totalsRowDxfId="124"/>
    <tableColumn id="26" name="PLASCORE COST" totalsRowFunction="sum" dataDxfId="123" totalsRowDxfId="122">
      <calculatedColumnFormula>(AU7)*AX$5</calculatedColumnFormula>
    </tableColumn>
    <tableColumn id="21" name="ALUMUNUM COST" totalsRowFunction="sum" totalsRowDxfId="121">
      <calculatedColumnFormula>Tabla1[H2 -TRACK COST]+Tabla1[H3 - TRACK COST]+Tabla1[2" X 2" X 3/16" ANGLE COST]+Tabla1[3" X 3" X 1/4" ANGLE COST]+Tabla1[2" X 2" X 3/16" TUBO COST]+Tabla1[ALUM WASHER]</calculatedColumnFormula>
    </tableColumn>
    <tableColumn id="7" name="HARDWARE COST" totalsRowFunction="sum" dataDxfId="120" totalsRowDxfId="119">
      <calculatedColumnFormula>Tabla1[[#This Row],[3M TAPE COST]]+Tabla1[EMPAQUE ALUMINUM COST]+Tabla1[INSERTS COST]+Tabla1[SHORT SCREWS 1 1/2"]+Tabla1[LONG SCREW 2"]+Tabla1[STICKERS COST]+Tabla1[TAPITAS COST]+Tabla1[ALUM WASHER]</calculatedColumnFormula>
    </tableColumn>
    <tableColumn id="29" name="Height Linear FT" dataDxfId="118" totalsRowDxfId="117">
      <calculatedColumnFormula>ROUNDUP((Tabla1[INCH/METER TO INCH HEIGHT]/12),0)</calculatedColumnFormula>
    </tableColumn>
    <tableColumn id="13" name="QTY" dataDxfId="116" totalsRowDxfId="115">
      <calculatedColumnFormula>Tabla1[PANELS QTY]-1</calculatedColumnFormula>
    </tableColumn>
    <tableColumn id="30" name="H2 -TRACK COST" totalsRowFunction="sum" dataDxfId="114" totalsRowDxfId="113" dataCellStyle="Currency">
      <calculatedColumnFormula>IF(AND(Tabla1[Beach Front (x)]="",AP7&lt;120),(IF(0.01&lt;BA7&lt;8.1,8*BB7,BA7*BB7))*BC$5,0)</calculatedColumnFormula>
    </tableColumn>
    <tableColumn id="31" name="H3 - TRACK COST" totalsRowFunction="sum" dataDxfId="112" totalsRowDxfId="111" dataCellStyle="Currency">
      <calculatedColumnFormula>IF(OR(Tabla1[Beach Front (x)]="x",AP7&gt;119.9999),(Tabla1[Height Linear FT]*Tabla1[QTY])*BD$5,0)</calculatedColumnFormula>
    </tableColumn>
    <tableColumn id="33" name="2&quot; X 2&quot; X 3/16&quot; ANGLE COST" totalsRowFunction="sum" dataDxfId="110" totalsRowDxfId="109" dataCellStyle="Currency">
      <calculatedColumnFormula>IF(Tabla1[Beach Front (x)]="",IF(Tabla1[Outside       (x) ]="",IF(Tabla1[INCH/METER TO INCH HEIGHT]&lt;96,Tabla1[Perimeter ALUM linear foot + 15%]*BE$5,0),0),0)</calculatedColumnFormula>
    </tableColumn>
    <tableColumn id="34" name="3&quot; X 3&quot; X 1/4&quot; ANGLE COST" totalsRowFunction="sum" dataDxfId="108" totalsRowDxfId="107" dataCellStyle="Currency">
      <calculatedColumnFormula>IF(OR(Tabla1[[#This Row],[INCH/METER TO INCH HEIGHT]]&gt;95.999,Tabla1[Beach Front (x)]="x"),IF(Tabla1[[#This Row],[Outside       (x) ]]="",Tabla1[[#This Row],[Perimeter ALUM linear foot + 15%]]*BF$5,0),0)</calculatedColumnFormula>
    </tableColumn>
    <tableColumn id="83" name="2&quot; X 2&quot; X 3/16&quot; TUBO COST" totalsRowFunction="custom" dataDxfId="106" totalsRowDxfId="105" dataCellStyle="Currency">
      <calculatedColumnFormula>IF(Tabla1[Outside       (x) ]="X",Tabla1[Perimeter ALUM linear foot + 15%]*BG$5,0)</calculatedColumnFormula>
      <totalsRowFormula>SUBTOTAL(109,Tabla1[] Tabla1[2" X 2" X 3/16" TUBO COST] )</totalsRowFormula>
    </tableColumn>
    <tableColumn id="1" name="3M TAPE COST" totalsRowFunction="sum" dataDxfId="104" totalsRowDxfId="103" dataCellStyle="Currency">
      <calculatedColumnFormula>IFERROR(((Tabla1[Perimter of each panel FT]*Tabla1[PANELS QTY]))*BH$5,0)</calculatedColumnFormula>
    </tableColumn>
    <tableColumn id="37" name="EMPAQUE ALUMINUM COST" totalsRowFunction="sum" dataDxfId="102" totalsRowDxfId="101" dataCellStyle="Currency">
      <calculatedColumnFormula>IFERROR((Tabla1[Perimeter ALUM Linear ft])*BI$5,0)</calculatedColumnFormula>
    </tableColumn>
    <tableColumn id="38" name="INSERTS COST" totalsRowFunction="sum" dataDxfId="100" totalsRowDxfId="99" dataCellStyle="Currency">
      <calculatedColumnFormula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calculatedColumnFormula>
    </tableColumn>
    <tableColumn id="106" name="SHORT SCREWS 1 1/2&quot;" totalsRowFunction="sum" dataDxfId="98" totalsRowDxfId="97" dataCellStyle="Currency">
      <calculatedColumnFormula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calculatedColumnFormula>
    </tableColumn>
    <tableColumn id="39" name="LONG SCREW 2&quot;" totalsRowFunction="sum" dataDxfId="96" totalsRowDxfId="95" dataCellStyle="Currency">
      <calculatedColumnFormula>((ROUNDUP((Tabla1[WIDTH]/18),0))*2*Tabla1[PANELS QTY])+((ROUNDUP((Tabla1[INCH/METER TO INCH HEIGHT]/18),0))*2)+(IF(Tabla1[INCH/METER TO INCH HEIGHT]&gt;119.99,Tabla1[H POST QTY]*8,(Tabla1[H POST QTY]*4)))*BL$5</calculatedColumnFormula>
    </tableColumn>
    <tableColumn id="40" name="STICKERS COST" totalsRowFunction="sum" dataDxfId="94" totalsRowDxfId="93">
      <calculatedColumnFormula>IF(Tabla1[[#This Row],[INCH/METER TO INCH WIDTH]]&gt;1,(((4+Tabla1[PANELS QTY]+Tabla1[H POST QTY]))*BM$5),0)</calculatedColumnFormula>
    </tableColumn>
    <tableColumn id="84" name="ALUM WASHER" totalsRowFunction="sum" dataDxfId="92" totalsRowDxfId="91" dataCellStyle="Currency">
      <calculatedColumnFormula>IF(AK7&lt;120.01,0,IF(AND(AK7&lt;132.01,AK7&gt;120),2+AR7*2,IF(AND(AK7&lt;144.01,AK7&gt;132),4+AR7*2,IF(AND(AK7&lt;156.01,AK7&gt;144),6+(AR7*2),IF(AND(AK7&lt;168.01,AK7&gt;156),(6+(AR7*2)),0)))))*BN$5</calculatedColumnFormula>
    </tableColumn>
    <tableColumn id="41" name="TAPITAS COST" totalsRowFunction="sum" dataDxfId="90" totalsRowDxfId="89">
      <calculatedColumnFormula>(((ROUNDUP((Tabla1[INCH/METER TO INCH HEIGHT]/18),0))*2)+((ROUNDUP((Tabla1[INCH/METER TO INCH WIDTH]/18),0))*2))*BO$5</calculatedColumnFormula>
    </tableColumn>
    <tableColumn id="79" name="C2" dataDxfId="88" totalsRowDxfId="87"/>
    <tableColumn id="47" name="Fabrication" totalsRowLabel="S00001" dataDxfId="86" totalsRowDxfId="85">
      <calculatedColumnFormula>"S00001"</calculatedColumnFormula>
    </tableColumn>
    <tableColumn id="48" name="SAP" dataDxfId="84" totalsRowDxfId="83"/>
    <tableColumn id="49" name="Description" totalsRowLabel="Storage Rack " dataDxfId="82" totalsRowDxfId="81">
      <calculatedColumnFormula>CONCATENATE(Tabla1[[#This Row],[ID CODE]],"  ",Tabla1[[#This Row],[LOCATION]],"-",Tabla1[AREA]," - ",Tabla1[[#This Row],[WIDTH (M)]]," x ",Tabla1[[#This Row],[HEIGHT (M)]]," M")</calculatedColumnFormula>
    </tableColumn>
    <tableColumn id="50" name="QTY3" totalsRowLabel="1" dataDxfId="80" totalsRowDxfId="79">
      <calculatedColumnFormula>"1"</calculatedColumnFormula>
    </tableColumn>
    <tableColumn id="51" name="Retail" totalsRowFunction="custom" dataDxfId="78" totalsRowDxfId="77">
      <calculatedColumnFormula>Tabla1[RETAIL TOTAL PRICE (SALES PRICE)]</calculatedColumnFormula>
      <totalsRowFormula>M2</totalsRowFormula>
    </tableColumn>
    <tableColumn id="52" name="SAP3" dataDxfId="76" totalsRowDxfId="75"/>
    <tableColumn id="53" name="SAP2" dataDxfId="74" totalsRowDxfId="73"/>
    <tableColumn id="54" name="UNIT" totalsRowFunction="custom" dataDxfId="72" totalsRowDxfId="71">
      <calculatedColumnFormula>J$1</calculatedColumnFormula>
      <totalsRowFormula>$J1</totalsRowFormula>
    </tableColumn>
    <tableColumn id="63" name="Job Code " totalsRowFunction="custom" dataDxfId="70" totalsRowDxfId="69">
      <calculatedColumnFormula>F$1</calculatedColumnFormula>
      <totalsRowFormula>F$1</totalsRowFormula>
    </tableColumn>
    <tableColumn id="55" name="Job ID" totalsRowFunction="custom" dataDxfId="68" totalsRowDxfId="67">
      <calculatedColumnFormula>F$2</calculatedColumnFormula>
      <totalsRowFormula>F$2</totalsRowFormula>
    </tableColumn>
    <tableColumn id="28" name="CODE" totalsRowLabel="S00001" dataDxfId="66" totalsRowDxfId="65">
      <calculatedColumnFormula>"S00001"</calculatedColumnFormula>
    </tableColumn>
    <tableColumn id="42" name="CODE 2 " dataDxfId="64" totalsRowDxfId="63"/>
    <tableColumn id="44" name="Description2" totalsRowLabel="Storage Rack" dataDxfId="62" totalsRowDxfId="61">
      <calculatedColumnFormula>CONCATENATE(Tabla1[[#This Row],[ID CODE]],"  ",Tabla1[[#This Row],[LOCATION]]," - ",Tabla1[[#This Row],[AREA]]," - ",Tabla1[[#This Row],[INCH/METER TO INCH WIDTH]]," x ",Tabla1[[#This Row],[INCH/METER TO INCH HEIGHT]]," In")</calculatedColumnFormula>
    </tableColumn>
    <tableColumn id="45" name="QTY2" totalsRowLabel="1" dataDxfId="60" totalsRowDxfId="59">
      <calculatedColumnFormula>(1)</calculatedColumnFormula>
    </tableColumn>
    <tableColumn id="46" name="Retail price" totalsRowFunction="custom" dataDxfId="58" totalsRowDxfId="57">
      <calculatedColumnFormula>Tabla1[RETAIL TOTAL PRICE (SALES PRICE)]</calculatedColumnFormula>
      <totalsRowFormula>M2</totalsRowFormula>
    </tableColumn>
    <tableColumn id="58" name="SAP7" dataDxfId="56" totalsRowDxfId="55"/>
    <tableColumn id="59" name="SAP8" dataDxfId="54" totalsRowDxfId="53"/>
    <tableColumn id="60" name="UNIT2" totalsRowFunction="custom" dataDxfId="52" totalsRowDxfId="51">
      <calculatedColumnFormula>J$1</calculatedColumnFormula>
      <totalsRowFormula>$J1</totalsRowFormula>
    </tableColumn>
    <tableColumn id="61" name="JOB CODE" totalsRowFunction="custom" dataDxfId="50" totalsRowDxfId="49">
      <calculatedColumnFormula>F$1</calculatedColumnFormula>
      <totalsRowFormula>F$1</totalsRowFormula>
    </tableColumn>
    <tableColumn id="62" name="JOB ID2" totalsRowFunction="custom" dataDxfId="48" totalsRowDxfId="47">
      <calculatedColumnFormula>F$2</calculatedColumnFormula>
      <totalsRowFormula>F$2</totalsRowFormula>
    </tableColumn>
    <tableColumn id="80" name="JOB ID3" dataDxfId="46" totalsRowDxfId="45" dataCellStyle="Normal"/>
    <tableColumn id="78" name="Plascore " totalsRowLabel="NA" dataDxfId="44" totalsRowDxfId="43"/>
    <tableColumn id="81" name="Height linear FT2" totalsRowLabel="NA" dataDxfId="42" totalsRowDxfId="41">
      <calculatedColumnFormula>Tabla1[Height Linear FT]</calculatedColumnFormula>
    </tableColumn>
    <tableColumn id="82" name="H Posts" totalsRowLabel="NA" dataDxfId="40" totalsRowDxfId="39">
      <calculatedColumnFormula>Tabla1[QTY]</calculatedColumnFormula>
    </tableColumn>
    <tableColumn id="85" name="8 FOOT H2 - TRACK QTY" totalsRowFunction="custom" totalsRowDxfId="38">
      <calculatedColumnFormula>IF(CM7&lt;8.1,CN7*1,"-")</calculatedColumnFormula>
      <totalsRowFormula>SUBTOTAL(109,Tabla1[[#Headers],[#Data],[8 FOOT H2 - TRACK QTY]])</totalsRowFormula>
    </tableColumn>
    <tableColumn id="86" name="9 FOOT H2 - TRACK QTY" totalsRowFunction="custom" dataDxfId="37" totalsRowDxfId="36">
      <calculatedColumnFormula>IF(CM7=9,CN7*1,"-")</calculatedColumnFormula>
      <totalsRowFormula>SUBTOTAL(109,Tabla1[[#Headers],[#Data],[9 FOOT H2 - TRACK QTY]])</totalsRowFormula>
    </tableColumn>
    <tableColumn id="87" name="10 FOOT H2 -TRACK QTY" totalsRowFunction="custom" dataDxfId="35" totalsRowDxfId="34">
      <calculatedColumnFormula>IF(CM7=10,CN7*1,"-")</calculatedColumnFormula>
      <totalsRowFormula>SUBTOTAL(109,Tabla1[[#Headers],[#Data],[10 FOOT H2 -TRACK QTY]])</totalsRowFormula>
    </tableColumn>
    <tableColumn id="88" name="11 FOOT H3 -TRACK QTY" totalsRowFunction="custom" dataDxfId="33" totalsRowDxfId="32">
      <calculatedColumnFormula>IF(CM7=11,CN7*1,"-")</calculatedColumnFormula>
      <totalsRowFormula>SUBTOTAL(109,Tabla1[[#Headers],[#Data],[11 FOOT H3 -TRACK QTY]])</totalsRowFormula>
    </tableColumn>
    <tableColumn id="89" name="12 FOOT H3 -TRACK QTY" totalsRowFunction="custom" dataDxfId="31" totalsRowDxfId="30">
      <calculatedColumnFormula>IF(CM7=12,CN7*1,"-")</calculatedColumnFormula>
      <totalsRowFormula>SUBTOTAL(109,Tabla1[[#Headers],[#Data],[12 FOOT H3 -TRACK QTY]])</totalsRowFormula>
    </tableColumn>
    <tableColumn id="90" name="13 FOOT H3 -TRACK QTY" totalsRowFunction="custom" dataDxfId="29" totalsRowDxfId="28">
      <calculatedColumnFormula>IF(CM7=13,CN7*1,"-")</calculatedColumnFormula>
      <totalsRowFormula>SUBTOTAL(109,Tabla1[[#Headers],[#Data],[13 FOOT H3 -TRACK QTY]])</totalsRowFormula>
    </tableColumn>
    <tableColumn id="91" name="14 FOOT H3 - TRACK COST" totalsRowFunction="custom" dataDxfId="27" totalsRowDxfId="26">
      <calculatedColumnFormula>IF(CM7=14,CN7*1,"-")</calculatedColumnFormula>
      <totalsRowFormula>SUBTOTAL(109,Tabla1[[#Headers],[#Data],[14 FOOT H3 - TRACK COST]])</totalsRowFormula>
    </tableColumn>
    <tableColumn id="110" name="108lnft 3m Rolls" totalsRowFunction="sum" dataDxfId="25" totalsRowDxfId="24">
      <calculatedColumnFormula>IF(Tabla1[PANELS QTY]&gt;0.1,((Tabla1[Perimter of each panel FT]*Tabla1[PANELS QTY]*1.03)/108),0)</calculatedColumnFormula>
    </tableColumn>
    <tableColumn id="92" name="EMPAQUE ALUMINUM COST " totalsRowFunction="custom" dataDxfId="23" totalsRowDxfId="22">
      <calculatedColumnFormula>(Tabla1[Perimeter ALUM Linear ft]*1.03)/32</calculatedColumnFormula>
      <totalsRowFormula>SUBTOTAL(109,Tabla1[[#Headers],[#Data],[EMPAQUE ALUMINUM COST ]])</totalsRowFormula>
    </tableColumn>
    <tableColumn id="93" name="INSERTS QTY" totalsRowFunction="custom" dataDxfId="21" totalsRowDxfId="20">
      <calculatedColumnFormula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calculatedColumnFormula>
      <totalsRowFormula>SUBTOTAL(109,Tabla1[[#Headers],[#Data],[INSERTS QTY]])</totalsRowFormula>
    </tableColumn>
    <tableColumn id="68" name="ALUM WASHER2" totalsRowFunction="sum" dataDxfId="19" totalsRowDxfId="18" dataCellStyle="Comma">
      <calculatedColumnFormula>IF(AK7&lt;120.01,0,IF(AND(AK7&lt;132.01,AK7&gt;120),2+AR7*2,IF(AND(AK7&lt;144.01,AK7&gt;132),4+AR7*2,IF(AND(AK7&lt;156.01,AK7&gt;144),6+(AR7*2),IF(AND(AK7&lt;168.01,AK7&gt;156),(6+(AR7*2)),0)))))</calculatedColumnFormula>
    </tableColumn>
    <tableColumn id="18" name="1 1/2&quot; SCREWS" totalsRowFunction="sum" dataDxfId="17" totalsRowDxfId="16">
      <calculatedColumnFormula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calculatedColumnFormula>
    </tableColumn>
    <tableColumn id="94" name="2&quot; SCREWS QTY" totalsRowFunction="custom" dataDxfId="15" totalsRowDxfId="14">
      <calculatedColumnFormula>((ROUNDUP((Tabla1[WIDTH]/18),0))*2*Tabla1[PANELS QTY])+((ROUNDUP((Tabla1[INCH/METER TO INCH HEIGHT]/18),0))*2)+(IF(Tabla1[INCH/METER TO INCH HEIGHT]&gt;119.99,Tabla1[H POST QTY]*8,(Tabla1[H POST QTY]*4)))</calculatedColumnFormula>
      <totalsRowFormula>SUBTOTAL(109,Tabla1[[#Headers],[#Data],[2" SCREWS QTY]])</totalsRowFormula>
    </tableColumn>
    <tableColumn id="95" name="STICKERS QTY" totalsRowFunction="custom" dataDxfId="13" totalsRowDxfId="12">
      <calculatedColumnFormula>IF(Tabla1[PANELS QTY]&gt;0,((4+Tabla1[PANELS QTY]+Tabla1[H POST QTY])),0)*1.05</calculatedColumnFormula>
      <totalsRowFormula>SUBTOTAL(109,Tabla1[[#Headers],[#Data],[STICKERS QTY]])</totalsRowFormula>
    </tableColumn>
    <tableColumn id="96" name="TAPITAS QTY" totalsRowFunction="custom" dataDxfId="11" totalsRowDxfId="10">
      <calculatedColumnFormula>CX7*1.05</calculatedColumnFormula>
      <totalsRowFormula>SUBTOTAL(109,Tabla1[[#Headers],[#Data],[TAPITAS QTY]])</totalsRowFormula>
    </tableColumn>
    <tableColumn id="97" name="Alumn unit" dataDxfId="9" totalsRowDxfId="8">
      <calculatedColumnFormula>(IF(Tabla1[3" X 3" X 1/4" ANGLE COST]&gt;0,"3 x 3 x 1/4",(IF(Tabla1[2" X 2" X 3/16" ANGLE COST]&gt;0,"2 x 2 x 3/16","Tube"))))</calculatedColumnFormula>
    </tableColumn>
    <tableColumn id="98" name="Width 1" dataDxfId="7" totalsRowDxfId="6">
      <calculatedColumnFormula>Tabla1[INCH/METER TO INCH WIDTH]/12</calculatedColumnFormula>
    </tableColumn>
    <tableColumn id="99" name="width 2" dataDxfId="5" totalsRowDxfId="4">
      <calculatedColumnFormula>Tabla1[INCH/METER TO INCH WIDTH]/12</calculatedColumnFormula>
    </tableColumn>
    <tableColumn id="100" name="Height 1" dataDxfId="3" totalsRowDxfId="2">
      <calculatedColumnFormula>Tabla1[INCH/METER TO INCH HEIGHT]/12</calculatedColumnFormula>
    </tableColumn>
    <tableColumn id="101" name="Height 2" dataDxfId="1" totalsRowDxfId="0">
      <calculatedColumnFormula>Tabla1[INCH/METER TO INCH HEIGHT]/12</calculatedColumnFormula>
    </tableColumn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V79"/>
  <sheetViews>
    <sheetView tabSelected="1" topLeftCell="AS1" zoomScale="80" zoomScaleNormal="80" workbookViewId="0">
      <pane ySplit="6" topLeftCell="A7" activePane="bottomLeft" state="frozen"/>
      <selection pane="bottomLeft" activeCell="AY7" sqref="AY7"/>
    </sheetView>
  </sheetViews>
  <sheetFormatPr defaultColWidth="11.42578125" defaultRowHeight="15.75" outlineLevelCol="1"/>
  <cols>
    <col min="1" max="1" width="11.28515625" style="21" customWidth="1" outlineLevel="1"/>
    <col min="2" max="2" width="18.140625" style="12" customWidth="1" outlineLevel="1"/>
    <col min="3" max="3" width="48.7109375" style="21" customWidth="1" outlineLevel="1"/>
    <col min="4" max="5" width="10.7109375" style="21" customWidth="1" outlineLevel="1"/>
    <col min="6" max="9" width="10.28515625" style="21" customWidth="1" outlineLevel="1"/>
    <col min="10" max="11" width="10.85546875" style="21" customWidth="1" outlineLevel="1"/>
    <col min="12" max="12" width="13.42578125" style="146" customWidth="1" outlineLevel="1"/>
    <col min="13" max="13" width="22" customWidth="1" outlineLevel="1"/>
    <col min="14" max="15" width="14.7109375" customWidth="1" outlineLevel="1"/>
    <col min="16" max="18" width="11.42578125" customWidth="1" outlineLevel="1"/>
    <col min="19" max="19" width="5.28515625" customWidth="1"/>
    <col min="20" max="20" width="24.85546875" hidden="1" customWidth="1" outlineLevel="1"/>
    <col min="21" max="21" width="16.7109375" hidden="1" customWidth="1" outlineLevel="1"/>
    <col min="22" max="22" width="16" hidden="1" customWidth="1" outlineLevel="1"/>
    <col min="23" max="23" width="14.7109375" hidden="1" customWidth="1" outlineLevel="1"/>
    <col min="24" max="24" width="15.140625" hidden="1" customWidth="1" outlineLevel="1"/>
    <col min="25" max="25" width="5.42578125" customWidth="1" collapsed="1"/>
    <col min="26" max="26" width="15.7109375" style="12" hidden="1" customWidth="1" outlineLevel="1"/>
    <col min="27" max="27" width="15.5703125" style="12" hidden="1" customWidth="1" outlineLevel="1" collapsed="1"/>
    <col min="28" max="28" width="15.42578125" style="12" hidden="1" customWidth="1" outlineLevel="1"/>
    <col min="29" max="30" width="15.7109375" style="6" hidden="1" customWidth="1" outlineLevel="1"/>
    <col min="31" max="31" width="17.42578125" style="6" hidden="1" customWidth="1" outlineLevel="1"/>
    <col min="32" max="32" width="19.28515625" style="6" hidden="1" customWidth="1" outlineLevel="1"/>
    <col min="33" max="33" width="13.7109375" style="6" hidden="1" customWidth="1" outlineLevel="1"/>
    <col min="34" max="34" width="15.7109375" style="12" hidden="1" customWidth="1" outlineLevel="1"/>
    <col min="35" max="35" width="5.5703125" style="12" customWidth="1" collapsed="1"/>
    <col min="36" max="37" width="15.5703125" style="6" customWidth="1" outlineLevel="1"/>
    <col min="38" max="38" width="15" style="6" customWidth="1" outlineLevel="1"/>
    <col min="39" max="39" width="16.5703125" style="6" customWidth="1" outlineLevel="1"/>
    <col min="40" max="40" width="14.85546875" style="12" customWidth="1" outlineLevel="1" collapsed="1"/>
    <col min="41" max="41" width="14.85546875" style="6" customWidth="1" outlineLevel="1"/>
    <col min="42" max="42" width="14.85546875" style="7" customWidth="1" outlineLevel="1"/>
    <col min="43" max="46" width="16.140625" style="6" customWidth="1" outlineLevel="1"/>
    <col min="47" max="48" width="14.7109375" style="7" customWidth="1" outlineLevel="1"/>
    <col min="49" max="49" width="5" style="147" customWidth="1"/>
    <col min="50" max="50" width="13.42578125" style="7" customWidth="1" outlineLevel="1"/>
    <col min="51" max="51" width="12.28515625" style="12" customWidth="1" outlineLevel="1"/>
    <col min="52" max="52" width="12.85546875" style="12" customWidth="1" outlineLevel="1"/>
    <col min="53" max="53" width="13" style="12" customWidth="1" outlineLevel="1"/>
    <col min="54" max="54" width="8.5703125" style="12" customWidth="1" outlineLevel="1"/>
    <col min="55" max="55" width="11.28515625" style="12" customWidth="1" outlineLevel="1"/>
    <col min="56" max="56" width="14.28515625" style="6" customWidth="1" outlineLevel="1"/>
    <col min="57" max="57" width="11.42578125" style="6" customWidth="1" outlineLevel="1"/>
    <col min="58" max="58" width="12" style="6" customWidth="1" outlineLevel="1"/>
    <col min="59" max="59" width="12" style="145" customWidth="1" outlineLevel="1"/>
    <col min="60" max="60" width="13.85546875" style="6" customWidth="1" outlineLevel="1"/>
    <col min="61" max="61" width="16.28515625" style="6" customWidth="1" outlineLevel="1"/>
    <col min="62" max="62" width="14.42578125" style="6" customWidth="1" outlineLevel="1"/>
    <col min="63" max="63" width="12.7109375" style="6" customWidth="1" outlineLevel="1"/>
    <col min="64" max="65" width="16.140625" style="7" customWidth="1" outlineLevel="1"/>
    <col min="66" max="66" width="16.140625" style="146" customWidth="1" outlineLevel="1"/>
    <col min="67" max="67" width="16.140625" style="7" customWidth="1" outlineLevel="1"/>
    <col min="68" max="68" width="4.28515625" style="8" customWidth="1"/>
    <col min="69" max="69" width="13.28515625" style="8" hidden="1" customWidth="1" outlineLevel="1"/>
    <col min="70" max="73" width="13.28515625" style="7" hidden="1" customWidth="1" outlineLevel="1"/>
    <col min="74" max="75" width="9.7109375" style="7" hidden="1" customWidth="1" outlineLevel="1"/>
    <col min="76" max="82" width="13.28515625" style="7" hidden="1" customWidth="1" outlineLevel="1"/>
    <col min="83" max="83" width="13.28515625" style="9" hidden="1" customWidth="1" outlineLevel="1"/>
    <col min="84" max="85" width="9.7109375" style="9" hidden="1" customWidth="1" outlineLevel="1"/>
    <col min="86" max="86" width="13.28515625" style="9" hidden="1" customWidth="1" outlineLevel="1"/>
    <col min="87" max="87" width="13.28515625" style="10" hidden="1" customWidth="1" outlineLevel="1"/>
    <col min="88" max="88" width="13.28515625" style="9" hidden="1" customWidth="1" outlineLevel="1"/>
    <col min="89" max="89" width="4.28515625" style="9" customWidth="1" collapsed="1"/>
    <col min="90" max="96" width="14" style="9" hidden="1" customWidth="1" outlineLevel="1"/>
    <col min="97" max="97" width="14" style="11" hidden="1" customWidth="1" outlineLevel="1"/>
    <col min="98" max="101" width="14" style="9" hidden="1" customWidth="1" outlineLevel="1"/>
    <col min="102" max="102" width="16.42578125" style="9" hidden="1" customWidth="1" outlineLevel="1"/>
    <col min="103" max="103" width="15.28515625" style="235" hidden="1" customWidth="1" outlineLevel="1"/>
    <col min="104" max="104" width="17.42578125" style="9" hidden="1" customWidth="1" outlineLevel="1"/>
    <col min="105" max="112" width="13.42578125" style="12" hidden="1" customWidth="1" outlineLevel="1"/>
    <col min="113" max="113" width="5" style="12" customWidth="1" collapsed="1"/>
    <col min="114" max="121" width="13.42578125" style="12" customWidth="1"/>
    <col min="122" max="122" width="14.7109375" style="12" customWidth="1"/>
    <col min="123" max="123" width="13.140625" style="12" customWidth="1"/>
    <col min="124" max="124" width="14.85546875" style="12" customWidth="1"/>
    <col min="125" max="125" width="16" style="12" customWidth="1"/>
    <col min="126" max="126" width="17.42578125" style="12" customWidth="1"/>
    <col min="127" max="127" width="4.28515625" style="12" customWidth="1"/>
    <col min="128" max="16384" width="11.42578125" style="12"/>
  </cols>
  <sheetData>
    <row r="1" spans="1:126" ht="18.600000000000001" customHeight="1" thickTop="1" thickBot="1">
      <c r="A1" s="1" t="s">
        <v>0</v>
      </c>
      <c r="B1" s="1"/>
      <c r="C1" s="1"/>
      <c r="D1" s="2"/>
      <c r="E1" s="3" t="s">
        <v>1</v>
      </c>
      <c r="F1" s="292" t="s">
        <v>2</v>
      </c>
      <c r="G1" s="293"/>
      <c r="H1" s="294" t="s">
        <v>3</v>
      </c>
      <c r="I1" s="295"/>
      <c r="J1" s="296" t="s">
        <v>4</v>
      </c>
      <c r="K1" s="297"/>
      <c r="L1" s="142"/>
      <c r="M1" s="129">
        <f>Tabla1[[#Totals],[RETAIL TOTAL PRICE (SALES PRICE)]]</f>
        <v>1386.2770844166666</v>
      </c>
      <c r="N1" s="130" t="s">
        <v>172</v>
      </c>
      <c r="O1" s="129"/>
      <c r="P1" s="131"/>
      <c r="Q1" s="5"/>
      <c r="R1" s="5"/>
      <c r="S1" s="305" t="s">
        <v>149</v>
      </c>
      <c r="T1" s="197">
        <f>Tabla1[[#Totals],[RETAIL TOTAL PRICE (SALES PRICE)]]</f>
        <v>1386.2770844166666</v>
      </c>
      <c r="U1" s="234" t="s">
        <v>166</v>
      </c>
      <c r="V1" s="211"/>
      <c r="W1" s="211"/>
      <c r="X1" s="142"/>
      <c r="Y1" s="288" t="s">
        <v>150</v>
      </c>
      <c r="Z1" s="143"/>
      <c r="AA1" s="142"/>
      <c r="AB1" s="144"/>
      <c r="AC1" s="142"/>
      <c r="AD1" s="142"/>
      <c r="AE1" s="142"/>
      <c r="AF1" s="142"/>
      <c r="AG1" s="144"/>
      <c r="AH1" s="144"/>
      <c r="AI1" s="310" t="s">
        <v>151</v>
      </c>
      <c r="AJ1" s="140"/>
      <c r="AK1" s="140"/>
      <c r="AL1" s="140"/>
      <c r="AM1" s="140"/>
      <c r="AN1" s="140"/>
      <c r="AO1" s="141"/>
      <c r="AP1" s="141"/>
      <c r="AQ1" s="141"/>
      <c r="AR1" s="141"/>
      <c r="AS1" s="141"/>
      <c r="AT1" s="141"/>
      <c r="AU1" s="141"/>
      <c r="AV1" s="142"/>
      <c r="AW1" s="310" t="s">
        <v>164</v>
      </c>
      <c r="AX1" s="144"/>
      <c r="AY1" s="144"/>
      <c r="AZ1" s="144"/>
      <c r="BA1" s="212"/>
      <c r="BB1" s="212"/>
      <c r="BC1" s="144"/>
      <c r="BD1" s="144"/>
      <c r="BE1" s="144"/>
      <c r="BF1" s="144"/>
      <c r="BG1" s="144"/>
      <c r="BH1" s="144"/>
      <c r="BI1" s="144"/>
      <c r="BJ1" s="144"/>
      <c r="BK1" s="144"/>
      <c r="BL1" s="144"/>
      <c r="BM1" s="144"/>
      <c r="BN1" s="144"/>
      <c r="BO1" s="144"/>
      <c r="BP1" s="331" t="s">
        <v>153</v>
      </c>
      <c r="BQ1" s="149"/>
      <c r="BR1" s="149"/>
      <c r="BS1" s="149"/>
      <c r="BT1" s="149"/>
      <c r="BU1" s="213"/>
      <c r="BV1" s="149"/>
      <c r="BW1" s="149"/>
      <c r="BX1" s="149"/>
      <c r="BY1" s="149"/>
      <c r="BZ1" s="149"/>
      <c r="CA1" s="149"/>
      <c r="CB1" s="149"/>
      <c r="CC1" s="149"/>
      <c r="CD1" s="149"/>
      <c r="CE1" s="214"/>
      <c r="CF1" s="149"/>
      <c r="CG1" s="149"/>
      <c r="CH1" s="149"/>
      <c r="CI1" s="149"/>
      <c r="CJ1" s="149"/>
      <c r="CK1" s="288" t="s">
        <v>74</v>
      </c>
      <c r="CL1" s="140"/>
      <c r="CM1" s="140"/>
      <c r="CN1" s="140"/>
      <c r="CO1" s="140"/>
      <c r="CP1" s="140"/>
      <c r="CQ1" s="140"/>
      <c r="CR1" s="140"/>
      <c r="CS1" s="140"/>
      <c r="CT1" s="140"/>
      <c r="CU1" s="140"/>
      <c r="CV1" s="140"/>
      <c r="CW1" s="140"/>
      <c r="CX1" s="140"/>
      <c r="CY1" s="140"/>
      <c r="CZ1" s="140"/>
      <c r="DA1" s="140"/>
      <c r="DB1" s="140"/>
      <c r="DC1" s="140"/>
      <c r="DD1" s="140"/>
      <c r="DE1" s="140"/>
      <c r="DF1" s="140"/>
      <c r="DG1" s="140"/>
      <c r="DH1" s="140"/>
      <c r="DI1" s="290" t="s">
        <v>155</v>
      </c>
    </row>
    <row r="2" spans="1:126" ht="18.600000000000001" customHeight="1" thickBot="1">
      <c r="A2" s="13" t="s">
        <v>5</v>
      </c>
      <c r="B2" s="1"/>
      <c r="C2" s="14"/>
      <c r="D2" s="2"/>
      <c r="E2" s="3" t="s">
        <v>6</v>
      </c>
      <c r="F2" s="298" t="s">
        <v>7</v>
      </c>
      <c r="G2" s="297"/>
      <c r="H2" s="2"/>
      <c r="I2" s="2"/>
      <c r="J2" s="2"/>
      <c r="K2" s="2"/>
      <c r="L2" s="142"/>
      <c r="M2" s="129">
        <f>Tabla1[[#Totals],[RETAIL TOTAL PRICE (SALES PRICE)]]*0.04</f>
        <v>55.451083376666666</v>
      </c>
      <c r="N2" s="130" t="s">
        <v>8</v>
      </c>
      <c r="O2" s="129"/>
      <c r="P2" s="132"/>
      <c r="Q2" s="5"/>
      <c r="R2" s="5"/>
      <c r="S2" s="306"/>
      <c r="T2" s="198">
        <f>(Tabla1[[#Totals],[RETAIL TOTAL PRICE (SALES PRICE)]]/100)*6</f>
        <v>83.176625064999996</v>
      </c>
      <c r="U2" s="234" t="s">
        <v>167</v>
      </c>
      <c r="V2" s="215"/>
      <c r="W2" s="215"/>
      <c r="X2" s="215"/>
      <c r="Y2" s="308"/>
      <c r="Z2" s="215"/>
      <c r="AA2" s="215"/>
      <c r="AB2" s="215"/>
      <c r="AC2" s="215"/>
      <c r="AD2" s="215"/>
      <c r="AE2" s="215"/>
      <c r="AF2" s="215"/>
      <c r="AG2" s="215"/>
      <c r="AH2" s="215"/>
      <c r="AI2" s="311"/>
      <c r="AJ2" s="205"/>
      <c r="AK2" s="199"/>
      <c r="AL2" s="199"/>
      <c r="AM2" s="199"/>
      <c r="AN2" s="199"/>
      <c r="AO2" s="199"/>
      <c r="AP2" s="199"/>
      <c r="AQ2" s="199"/>
      <c r="AR2" s="199"/>
      <c r="AS2" s="199"/>
      <c r="AT2" s="199"/>
      <c r="AU2" s="199"/>
      <c r="AV2" s="142"/>
      <c r="AW2" s="311"/>
      <c r="AX2" s="215"/>
      <c r="AY2" s="215"/>
      <c r="AZ2" s="215"/>
      <c r="BA2" s="215"/>
      <c r="BB2" s="215"/>
      <c r="BC2" s="215"/>
      <c r="BD2" s="215"/>
      <c r="BE2" s="215"/>
      <c r="BF2" s="215"/>
      <c r="BG2" s="215"/>
      <c r="BH2" s="215"/>
      <c r="BI2" s="215"/>
      <c r="BJ2" s="215"/>
      <c r="BK2" s="215"/>
      <c r="BL2" s="215"/>
      <c r="BM2" s="215"/>
      <c r="BN2" s="215"/>
      <c r="BO2" s="215"/>
      <c r="BP2" s="332"/>
      <c r="BQ2" s="149"/>
      <c r="BR2" s="149"/>
      <c r="BS2" s="149"/>
      <c r="BT2" s="149"/>
      <c r="BU2" s="213"/>
      <c r="BV2" s="149"/>
      <c r="BW2" s="149"/>
      <c r="BX2" s="149"/>
      <c r="BY2" s="149"/>
      <c r="BZ2" s="149"/>
      <c r="CA2" s="149"/>
      <c r="CB2" s="149"/>
      <c r="CC2" s="149"/>
      <c r="CD2" s="149"/>
      <c r="CE2" s="214"/>
      <c r="CF2" s="149"/>
      <c r="CG2" s="149"/>
      <c r="CH2" s="149"/>
      <c r="CI2" s="149"/>
      <c r="CJ2" s="149"/>
      <c r="CK2" s="289"/>
      <c r="CL2" s="140"/>
      <c r="CM2" s="140"/>
      <c r="CN2" s="140"/>
      <c r="CO2" s="140"/>
      <c r="CP2" s="140"/>
      <c r="CQ2" s="140"/>
      <c r="CR2" s="140"/>
      <c r="CS2" s="140"/>
      <c r="CT2" s="140"/>
      <c r="CU2" s="140"/>
      <c r="CV2" s="140"/>
      <c r="CW2" s="140"/>
      <c r="CX2" s="140"/>
      <c r="CY2" s="140"/>
      <c r="CZ2" s="140"/>
      <c r="DA2" s="140"/>
      <c r="DB2" s="140"/>
      <c r="DC2" s="140"/>
      <c r="DD2" s="140"/>
      <c r="DE2" s="140"/>
      <c r="DF2" s="140"/>
      <c r="DG2" s="140"/>
      <c r="DH2" s="140"/>
      <c r="DI2" s="291"/>
    </row>
    <row r="3" spans="1:126" ht="18.600000000000001" customHeight="1" thickTop="1" thickBot="1">
      <c r="A3" s="15" t="s">
        <v>9</v>
      </c>
      <c r="B3" s="1"/>
      <c r="C3" s="14"/>
      <c r="D3" s="1"/>
      <c r="E3" s="1"/>
      <c r="F3" s="1"/>
      <c r="G3" s="1"/>
      <c r="H3" s="1"/>
      <c r="I3" s="1"/>
      <c r="J3" s="1"/>
      <c r="K3" s="1"/>
      <c r="L3" s="142"/>
      <c r="M3" s="129">
        <f>(Tabla1[[#Totals],[RETAIL TOTAL PRICE (SALES PRICE)]]/100)*6</f>
        <v>83.176625064999996</v>
      </c>
      <c r="N3" s="130" t="s">
        <v>10</v>
      </c>
      <c r="O3" s="129"/>
      <c r="P3" s="132"/>
      <c r="Q3" s="5"/>
      <c r="R3" s="5"/>
      <c r="S3" s="306"/>
      <c r="U3" s="302" t="s">
        <v>146</v>
      </c>
      <c r="V3" s="303"/>
      <c r="W3" s="303"/>
      <c r="X3" s="304"/>
      <c r="Y3" s="308"/>
      <c r="Z3" s="191"/>
      <c r="AA3" s="216"/>
      <c r="AB3" s="299" t="s">
        <v>145</v>
      </c>
      <c r="AC3" s="301"/>
      <c r="AD3" s="300"/>
      <c r="AE3" s="299" t="s">
        <v>144</v>
      </c>
      <c r="AF3" s="300"/>
      <c r="AG3" s="320" t="s">
        <v>11</v>
      </c>
      <c r="AH3" s="320"/>
      <c r="AI3" s="311"/>
      <c r="AJ3" s="140"/>
      <c r="AK3" s="140"/>
      <c r="AL3" s="140"/>
      <c r="AM3" s="140"/>
      <c r="AN3" s="140"/>
      <c r="AO3" s="141"/>
      <c r="AP3" s="141"/>
      <c r="AQ3" s="141"/>
      <c r="AR3" s="141"/>
      <c r="AS3" s="141"/>
      <c r="AT3" s="141"/>
      <c r="AU3" s="141"/>
      <c r="AV3" s="142"/>
      <c r="AW3" s="311"/>
      <c r="AX3" s="195"/>
      <c r="AY3" s="195"/>
      <c r="AZ3" s="195"/>
      <c r="BA3" s="195"/>
      <c r="BB3" s="195"/>
      <c r="BC3" s="195"/>
      <c r="BD3" s="195"/>
      <c r="BE3" s="195"/>
      <c r="BF3" s="195"/>
      <c r="BG3" s="195"/>
      <c r="BH3" s="195"/>
      <c r="BI3" s="195"/>
      <c r="BJ3" s="195"/>
      <c r="BK3" s="195"/>
      <c r="BL3" s="195"/>
      <c r="BM3" s="195"/>
      <c r="BN3" s="195"/>
      <c r="BO3" s="195"/>
      <c r="BP3" s="332"/>
      <c r="BQ3" s="321" t="s">
        <v>12</v>
      </c>
      <c r="BR3" s="321"/>
      <c r="BS3" s="321"/>
      <c r="BT3" s="321"/>
      <c r="BU3" s="321"/>
      <c r="BV3" s="321"/>
      <c r="BW3" s="321"/>
      <c r="BX3" s="321"/>
      <c r="BY3" s="321"/>
      <c r="BZ3" s="322"/>
      <c r="CA3" s="325" t="s">
        <v>13</v>
      </c>
      <c r="CB3" s="326"/>
      <c r="CC3" s="326"/>
      <c r="CD3" s="326"/>
      <c r="CE3" s="326"/>
      <c r="CF3" s="326"/>
      <c r="CG3" s="326"/>
      <c r="CH3" s="326"/>
      <c r="CI3" s="326"/>
      <c r="CJ3" s="326"/>
      <c r="CK3" s="289"/>
      <c r="CL3" s="140"/>
      <c r="CM3" s="140"/>
      <c r="CN3" s="140"/>
      <c r="CO3" s="140"/>
      <c r="CP3" s="140"/>
      <c r="CQ3" s="140"/>
      <c r="CR3" s="140"/>
      <c r="CS3" s="140"/>
      <c r="CT3" s="140"/>
      <c r="CU3" s="140"/>
      <c r="CV3" s="140"/>
      <c r="CW3" s="140"/>
      <c r="CX3" s="140"/>
      <c r="CY3" s="140"/>
      <c r="CZ3" s="140"/>
      <c r="DA3" s="140"/>
      <c r="DB3" s="140"/>
      <c r="DC3" s="140"/>
      <c r="DD3" s="140"/>
      <c r="DE3" s="140"/>
      <c r="DF3" s="140"/>
      <c r="DG3" s="140"/>
      <c r="DH3" s="140"/>
      <c r="DI3" s="291"/>
    </row>
    <row r="4" spans="1:126" s="21" customFormat="1" ht="18.600000000000001" customHeight="1" thickTop="1" thickBot="1">
      <c r="A4" s="16" t="s">
        <v>14</v>
      </c>
      <c r="B4" s="17"/>
      <c r="C4" s="18"/>
      <c r="D4" s="19"/>
      <c r="E4" s="19"/>
      <c r="F4" s="19"/>
      <c r="G4" s="19"/>
      <c r="H4" s="19"/>
      <c r="I4" s="19"/>
      <c r="J4" s="19"/>
      <c r="K4" s="19"/>
      <c r="L4" s="150"/>
      <c r="N4" s="284"/>
      <c r="P4" s="4"/>
      <c r="Q4" s="22"/>
      <c r="R4" s="104"/>
      <c r="S4" s="306"/>
      <c r="T4" s="217"/>
      <c r="U4" s="218"/>
      <c r="V4" s="182" t="s">
        <v>56</v>
      </c>
      <c r="W4" s="219" t="s">
        <v>15</v>
      </c>
      <c r="X4" s="193"/>
      <c r="Y4" s="308"/>
      <c r="Z4" s="148"/>
      <c r="AA4" s="139"/>
      <c r="AB4" s="183" t="s">
        <v>16</v>
      </c>
      <c r="AC4" s="141"/>
      <c r="AD4" s="220"/>
      <c r="AE4" s="221"/>
      <c r="AF4" s="222"/>
      <c r="AG4" s="186" t="s">
        <v>17</v>
      </c>
      <c r="AH4" s="194" t="s">
        <v>18</v>
      </c>
      <c r="AI4" s="311"/>
      <c r="AJ4" s="148"/>
      <c r="AK4" s="148"/>
      <c r="AL4" s="148"/>
      <c r="AM4" s="148"/>
      <c r="AN4" s="148"/>
      <c r="AO4" s="149"/>
      <c r="AP4" s="149"/>
      <c r="AQ4" s="149"/>
      <c r="AR4" s="149"/>
      <c r="AS4" s="149"/>
      <c r="AT4" s="149"/>
      <c r="AU4" s="149"/>
      <c r="AV4" s="150"/>
      <c r="AW4" s="311"/>
      <c r="AX4" s="223" t="s">
        <v>19</v>
      </c>
      <c r="AY4" s="224"/>
      <c r="AZ4" s="224"/>
      <c r="BA4" s="225"/>
      <c r="BB4" s="225"/>
      <c r="BC4" s="224" t="s">
        <v>21</v>
      </c>
      <c r="BD4" s="224" t="s">
        <v>21</v>
      </c>
      <c r="BE4" s="224" t="s">
        <v>20</v>
      </c>
      <c r="BF4" s="224" t="s">
        <v>20</v>
      </c>
      <c r="BG4" s="224" t="s">
        <v>22</v>
      </c>
      <c r="BH4" s="224" t="s">
        <v>20</v>
      </c>
      <c r="BI4" s="224" t="s">
        <v>20</v>
      </c>
      <c r="BJ4" s="224" t="s">
        <v>23</v>
      </c>
      <c r="BK4" s="224" t="s">
        <v>23</v>
      </c>
      <c r="BL4" s="224" t="s">
        <v>23</v>
      </c>
      <c r="BM4" s="224" t="s">
        <v>23</v>
      </c>
      <c r="BN4" s="278" t="s">
        <v>170</v>
      </c>
      <c r="BO4" s="226" t="s">
        <v>23</v>
      </c>
      <c r="BP4" s="332"/>
      <c r="BQ4" s="323"/>
      <c r="BR4" s="323"/>
      <c r="BS4" s="323"/>
      <c r="BT4" s="323"/>
      <c r="BU4" s="323"/>
      <c r="BV4" s="323"/>
      <c r="BW4" s="323"/>
      <c r="BX4" s="323"/>
      <c r="BY4" s="323"/>
      <c r="BZ4" s="324"/>
      <c r="CA4" s="327"/>
      <c r="CB4" s="328"/>
      <c r="CC4" s="328"/>
      <c r="CD4" s="328"/>
      <c r="CE4" s="328"/>
      <c r="CF4" s="328"/>
      <c r="CG4" s="328"/>
      <c r="CH4" s="328"/>
      <c r="CI4" s="328"/>
      <c r="CJ4" s="328"/>
      <c r="CK4" s="289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291"/>
    </row>
    <row r="5" spans="1:126" s="20" customFormat="1" ht="12.6" customHeight="1" thickTop="1" thickBot="1">
      <c r="A5" s="285" t="s">
        <v>24</v>
      </c>
      <c r="B5" s="286"/>
      <c r="C5" s="286"/>
      <c r="D5" s="286"/>
      <c r="E5" s="286"/>
      <c r="F5" s="286"/>
      <c r="G5" s="286"/>
      <c r="H5" s="286"/>
      <c r="I5" s="286"/>
      <c r="J5" s="286"/>
      <c r="K5" s="286"/>
      <c r="L5" s="287"/>
      <c r="M5" s="285" t="s">
        <v>26</v>
      </c>
      <c r="N5" s="286"/>
      <c r="O5" s="287"/>
      <c r="P5" s="23" t="s">
        <v>27</v>
      </c>
      <c r="Q5" s="23" t="s">
        <v>28</v>
      </c>
      <c r="R5" s="78" t="s">
        <v>28</v>
      </c>
      <c r="S5" s="307"/>
      <c r="T5" s="190"/>
      <c r="U5" s="176"/>
      <c r="V5" s="181">
        <v>0.35</v>
      </c>
      <c r="W5" s="178">
        <v>6</v>
      </c>
      <c r="X5" s="179">
        <v>500</v>
      </c>
      <c r="Y5" s="309"/>
      <c r="Z5" s="175"/>
      <c r="AA5" s="177"/>
      <c r="AB5" s="184">
        <v>0.35</v>
      </c>
      <c r="AC5" s="173"/>
      <c r="AD5" s="174"/>
      <c r="AE5" s="187"/>
      <c r="AF5" s="174"/>
      <c r="AG5" s="186">
        <v>5</v>
      </c>
      <c r="AH5" s="194">
        <v>2.5</v>
      </c>
      <c r="AI5" s="312"/>
      <c r="AJ5" s="203"/>
      <c r="AK5" s="203"/>
      <c r="AL5" s="200" t="s">
        <v>25</v>
      </c>
      <c r="AM5" s="201"/>
      <c r="AN5" s="201"/>
      <c r="AO5" s="201"/>
      <c r="AP5" s="201"/>
      <c r="AQ5" s="201"/>
      <c r="AR5" s="201"/>
      <c r="AS5" s="201"/>
      <c r="AT5" s="201"/>
      <c r="AU5" s="201"/>
      <c r="AV5" s="202"/>
      <c r="AW5" s="312"/>
      <c r="AX5" s="180">
        <v>5.5</v>
      </c>
      <c r="AY5" s="152"/>
      <c r="AZ5" s="152"/>
      <c r="BA5" s="153"/>
      <c r="BB5" s="153"/>
      <c r="BC5" s="152">
        <v>12.75</v>
      </c>
      <c r="BD5" s="152">
        <v>12.75</v>
      </c>
      <c r="BE5" s="152">
        <v>3</v>
      </c>
      <c r="BF5" s="152">
        <v>4.5</v>
      </c>
      <c r="BG5" s="152">
        <v>4.5</v>
      </c>
      <c r="BH5" s="152">
        <v>0.79</v>
      </c>
      <c r="BI5" s="152">
        <v>1.33</v>
      </c>
      <c r="BJ5" s="152">
        <v>2.4</v>
      </c>
      <c r="BK5" s="152">
        <v>0.47</v>
      </c>
      <c r="BL5" s="152">
        <v>0.5</v>
      </c>
      <c r="BM5" s="152">
        <v>0.7</v>
      </c>
      <c r="BN5" s="279">
        <v>1</v>
      </c>
      <c r="BO5" s="188">
        <v>0.19</v>
      </c>
      <c r="BP5" s="332"/>
      <c r="BQ5" s="323"/>
      <c r="BR5" s="323"/>
      <c r="BS5" s="323"/>
      <c r="BT5" s="323"/>
      <c r="BU5" s="323"/>
      <c r="BV5" s="323"/>
      <c r="BW5" s="323"/>
      <c r="BX5" s="323"/>
      <c r="BY5" s="323"/>
      <c r="BZ5" s="324"/>
      <c r="CA5" s="329"/>
      <c r="CB5" s="330"/>
      <c r="CC5" s="330"/>
      <c r="CD5" s="330"/>
      <c r="CE5" s="330"/>
      <c r="CF5" s="330"/>
      <c r="CG5" s="330"/>
      <c r="CH5" s="330"/>
      <c r="CI5" s="330"/>
      <c r="CJ5" s="330"/>
      <c r="CK5" s="289"/>
      <c r="CL5" s="148"/>
      <c r="CM5" s="148"/>
      <c r="CN5" s="148"/>
      <c r="CO5" s="148"/>
      <c r="CP5" s="148"/>
      <c r="CQ5" s="148"/>
      <c r="CR5" s="148"/>
      <c r="CS5" s="148"/>
      <c r="CT5" s="148"/>
      <c r="CU5" s="148"/>
      <c r="CV5" s="148"/>
      <c r="CW5" s="148"/>
      <c r="CX5" s="148"/>
      <c r="CY5" s="148"/>
      <c r="CZ5" s="148"/>
      <c r="DA5" s="148"/>
      <c r="DB5" s="148"/>
      <c r="DC5" s="148"/>
      <c r="DD5" s="148"/>
      <c r="DE5" s="148"/>
      <c r="DF5" s="148"/>
      <c r="DG5" s="148"/>
      <c r="DH5" s="148"/>
      <c r="DI5" s="291"/>
    </row>
    <row r="6" spans="1:126" s="99" customFormat="1" ht="58.9" customHeight="1" thickTop="1" thickBot="1">
      <c r="A6" s="227" t="s">
        <v>29</v>
      </c>
      <c r="B6" s="227" t="s">
        <v>30</v>
      </c>
      <c r="C6" s="227" t="s">
        <v>31</v>
      </c>
      <c r="D6" s="227" t="s">
        <v>157</v>
      </c>
      <c r="E6" s="227" t="s">
        <v>158</v>
      </c>
      <c r="F6" s="228" t="s">
        <v>32</v>
      </c>
      <c r="G6" s="228" t="s">
        <v>33</v>
      </c>
      <c r="H6" s="228" t="s">
        <v>156</v>
      </c>
      <c r="I6" s="228" t="s">
        <v>34</v>
      </c>
      <c r="J6" s="227" t="s">
        <v>35</v>
      </c>
      <c r="K6" s="227" t="s">
        <v>36</v>
      </c>
      <c r="L6" s="154" t="s">
        <v>48</v>
      </c>
      <c r="M6" s="86" t="s">
        <v>49</v>
      </c>
      <c r="N6" s="87" t="s">
        <v>50</v>
      </c>
      <c r="O6" s="88" t="s">
        <v>51</v>
      </c>
      <c r="P6" s="28" t="s">
        <v>52</v>
      </c>
      <c r="Q6" s="137" t="s">
        <v>160</v>
      </c>
      <c r="R6" s="138" t="s">
        <v>161</v>
      </c>
      <c r="S6" s="135" t="s">
        <v>149</v>
      </c>
      <c r="T6" s="105" t="s">
        <v>165</v>
      </c>
      <c r="U6" s="88" t="s">
        <v>138</v>
      </c>
      <c r="V6" s="124" t="s">
        <v>53</v>
      </c>
      <c r="W6" s="89" t="s">
        <v>146</v>
      </c>
      <c r="X6" s="103" t="s">
        <v>54</v>
      </c>
      <c r="Y6" s="121" t="s">
        <v>147</v>
      </c>
      <c r="Z6" s="101" t="s">
        <v>139</v>
      </c>
      <c r="AA6" s="90" t="s">
        <v>55</v>
      </c>
      <c r="AB6" s="106" t="s">
        <v>56</v>
      </c>
      <c r="AC6" s="91" t="s">
        <v>143</v>
      </c>
      <c r="AD6" s="277" t="s">
        <v>142</v>
      </c>
      <c r="AE6" s="108" t="s">
        <v>141</v>
      </c>
      <c r="AF6" s="109" t="s">
        <v>140</v>
      </c>
      <c r="AG6" s="100" t="s">
        <v>57</v>
      </c>
      <c r="AH6" s="102" t="s">
        <v>58</v>
      </c>
      <c r="AI6" s="122" t="s">
        <v>152</v>
      </c>
      <c r="AJ6" s="24" t="s">
        <v>37</v>
      </c>
      <c r="AK6" s="24" t="s">
        <v>38</v>
      </c>
      <c r="AL6" s="25" t="s">
        <v>39</v>
      </c>
      <c r="AM6" s="25" t="s">
        <v>40</v>
      </c>
      <c r="AN6" s="25" t="s">
        <v>168</v>
      </c>
      <c r="AO6" s="26" t="s">
        <v>41</v>
      </c>
      <c r="AP6" s="27" t="s">
        <v>42</v>
      </c>
      <c r="AQ6" s="27" t="s">
        <v>43</v>
      </c>
      <c r="AR6" s="27" t="s">
        <v>44</v>
      </c>
      <c r="AS6" s="27" t="s">
        <v>45</v>
      </c>
      <c r="AT6" s="27" t="s">
        <v>46</v>
      </c>
      <c r="AU6" s="27" t="s">
        <v>47</v>
      </c>
      <c r="AV6" s="27" t="s">
        <v>162</v>
      </c>
      <c r="AW6" s="189" t="s">
        <v>163</v>
      </c>
      <c r="AX6" s="29" t="s">
        <v>59</v>
      </c>
      <c r="AY6" s="84" t="s">
        <v>136</v>
      </c>
      <c r="AZ6" s="83" t="s">
        <v>137</v>
      </c>
      <c r="BA6" s="92" t="s">
        <v>61</v>
      </c>
      <c r="BB6" s="93" t="s">
        <v>62</v>
      </c>
      <c r="BC6" s="94" t="s">
        <v>63</v>
      </c>
      <c r="BD6" s="94" t="s">
        <v>64</v>
      </c>
      <c r="BE6" s="94" t="s">
        <v>65</v>
      </c>
      <c r="BF6" s="94" t="s">
        <v>66</v>
      </c>
      <c r="BG6" s="94" t="s">
        <v>174</v>
      </c>
      <c r="BH6" s="83" t="s">
        <v>60</v>
      </c>
      <c r="BI6" s="83" t="s">
        <v>67</v>
      </c>
      <c r="BJ6" s="83" t="s">
        <v>68</v>
      </c>
      <c r="BK6" s="83" t="s">
        <v>69</v>
      </c>
      <c r="BL6" s="83" t="s">
        <v>70</v>
      </c>
      <c r="BM6" s="83" t="s">
        <v>71</v>
      </c>
      <c r="BN6" s="83" t="s">
        <v>169</v>
      </c>
      <c r="BO6" s="83" t="s">
        <v>72</v>
      </c>
      <c r="BP6" s="133" t="s">
        <v>154</v>
      </c>
      <c r="BQ6" s="30" t="s">
        <v>73</v>
      </c>
      <c r="BR6" s="30" t="s">
        <v>74</v>
      </c>
      <c r="BS6" s="30" t="s">
        <v>27</v>
      </c>
      <c r="BT6" s="30" t="s">
        <v>75</v>
      </c>
      <c r="BU6" s="31" t="s">
        <v>76</v>
      </c>
      <c r="BV6" s="30" t="s">
        <v>77</v>
      </c>
      <c r="BW6" s="30" t="s">
        <v>78</v>
      </c>
      <c r="BX6" s="30" t="s">
        <v>79</v>
      </c>
      <c r="BY6" s="30" t="s">
        <v>80</v>
      </c>
      <c r="BZ6" s="32" t="s">
        <v>81</v>
      </c>
      <c r="CA6" s="33" t="s">
        <v>82</v>
      </c>
      <c r="CB6" s="33" t="s">
        <v>83</v>
      </c>
      <c r="CC6" s="33" t="s">
        <v>84</v>
      </c>
      <c r="CD6" s="33" t="s">
        <v>85</v>
      </c>
      <c r="CE6" s="34" t="s">
        <v>86</v>
      </c>
      <c r="CF6" s="33" t="s">
        <v>87</v>
      </c>
      <c r="CG6" s="33" t="s">
        <v>88</v>
      </c>
      <c r="CH6" s="33" t="s">
        <v>89</v>
      </c>
      <c r="CI6" s="33" t="s">
        <v>90</v>
      </c>
      <c r="CJ6" s="33" t="s">
        <v>91</v>
      </c>
      <c r="CK6" s="229" t="s">
        <v>148</v>
      </c>
      <c r="CL6" s="233" t="s">
        <v>92</v>
      </c>
      <c r="CM6" s="95" t="s">
        <v>93</v>
      </c>
      <c r="CN6" s="95" t="s">
        <v>94</v>
      </c>
      <c r="CO6" s="96" t="s">
        <v>95</v>
      </c>
      <c r="CP6" s="96" t="s">
        <v>96</v>
      </c>
      <c r="CQ6" s="97" t="s">
        <v>97</v>
      </c>
      <c r="CR6" s="97" t="s">
        <v>98</v>
      </c>
      <c r="CS6" s="97" t="s">
        <v>99</v>
      </c>
      <c r="CT6" s="97" t="s">
        <v>100</v>
      </c>
      <c r="CU6" s="97" t="s">
        <v>101</v>
      </c>
      <c r="CV6" s="136" t="s">
        <v>102</v>
      </c>
      <c r="CW6" s="97" t="s">
        <v>103</v>
      </c>
      <c r="CX6" s="97" t="s">
        <v>104</v>
      </c>
      <c r="CY6" s="97" t="s">
        <v>171</v>
      </c>
      <c r="CZ6" s="97" t="s">
        <v>105</v>
      </c>
      <c r="DA6" s="97" t="s">
        <v>106</v>
      </c>
      <c r="DB6" s="97" t="s">
        <v>107</v>
      </c>
      <c r="DC6" s="97" t="s">
        <v>108</v>
      </c>
      <c r="DD6" s="136" t="s">
        <v>159</v>
      </c>
      <c r="DE6" s="98" t="s">
        <v>109</v>
      </c>
      <c r="DF6" s="98" t="s">
        <v>110</v>
      </c>
      <c r="DG6" s="98" t="s">
        <v>111</v>
      </c>
      <c r="DH6" s="98" t="s">
        <v>112</v>
      </c>
      <c r="DI6" s="230"/>
    </row>
    <row r="7" spans="1:126" s="53" customFormat="1" ht="21" customHeight="1" thickTop="1" thickBot="1">
      <c r="A7" s="35"/>
      <c r="B7" s="36"/>
      <c r="C7" s="37"/>
      <c r="D7" s="127">
        <v>2</v>
      </c>
      <c r="E7" s="127">
        <v>2</v>
      </c>
      <c r="F7" s="37"/>
      <c r="G7" s="37"/>
      <c r="H7" s="37"/>
      <c r="I7" s="37"/>
      <c r="J7" s="125"/>
      <c r="K7" s="126"/>
      <c r="L7" s="156">
        <f>IFERROR(Tabla1[RETAIL TOTAL PRICE (SALES PRICE)]/AT$7,0)</f>
        <v>32.197467645903039</v>
      </c>
      <c r="M7" s="41">
        <f>Tabla1[TOTAL INSTALLATION]+Tabla1[RETAIL FABRICATION PRICE (SALES PRICE)]</f>
        <v>1386.2770844166666</v>
      </c>
      <c r="N7" s="42">
        <f>IFERROR((AA7*1.06),0)</f>
        <v>1187.836058775641</v>
      </c>
      <c r="O7" s="42">
        <f>Tabla1[INSTALLATION PROFIT]+Tabla1[[INSTALLATION ]]+Tabla1[SCAFFOLDING IF NECCESARY]+Tabla1[[#This Row],[SPECIAL LABOR
($)]]</f>
        <v>198.44102564102565</v>
      </c>
      <c r="P7" s="43"/>
      <c r="Q7" s="44"/>
      <c r="R7" s="82"/>
      <c r="S7" s="134"/>
      <c r="T7" s="120">
        <f>Tabla1[TOTAL INSTALLATION]+Tabla1[RETAIL FABRICATION PRICE (SALES PRICE)]</f>
        <v>1386.2770844166666</v>
      </c>
      <c r="U7" s="42">
        <f>Tabla1[INSTALLATION PROFIT]+Tabla1[[INSTALLATION ]]+Tabla1[SCAFFOLDING IF NECCESARY]+Tabla1[[#This Row],[SPECIAL LABOR
($)]]</f>
        <v>198.44102564102565</v>
      </c>
      <c r="V7" s="82">
        <f>(Tabla1[[INSTALLATION ]]*V$5)/(1-V$5)</f>
        <v>69.454358974358968</v>
      </c>
      <c r="W7" s="46">
        <f>IF(Tabla1[INCH/METER TO INCH WIDTH]&gt;0,(IFERROR(((((AJ7*2)+(AK7*2))/18)+(AR7-1)*4)*W$5,0)),0)</f>
        <v>128.98666666666668</v>
      </c>
      <c r="X7" s="45">
        <f>IF(Tabla1[Scaffold (x)]="x",X$5,0)</f>
        <v>0</v>
      </c>
      <c r="Y7" s="210"/>
      <c r="Z7" s="42">
        <f>IFERROR((Tabla1[WHOLESALE FABRICATION PRICE]*1.06),0)</f>
        <v>1187.836058775641</v>
      </c>
      <c r="AA7" s="46">
        <f>Tabla1[[#This Row],[PROFIT]]+Tabla1[[#This Row],[UNIT COST  (MATERIALS + FABRICATION)]]+Tabla1[[#This Row],[ARCH FEE 
(25% FEE)]]+Tabla1[[#This Row],[SPECIAL PARTS
($)]]</f>
        <v>1120.600055448718</v>
      </c>
      <c r="AB7" s="107">
        <f>(Tabla1[[#This Row],[UNIT COST  (MATERIALS + FABRICATION)]]*AB$5)/(1-AB$5)</f>
        <v>392.21001940705128</v>
      </c>
      <c r="AC7" s="46">
        <f>AE7+AF7</f>
        <v>728.39003604166669</v>
      </c>
      <c r="AD7" s="185">
        <f>IF(Tabla1[[#This Row],[ARCH(x)]]="x",(Tabla1[[#This Row],[PROFIT]]+Tabla1[[#This Row],[UNIT COST  (MATERIALS + FABRICATION)]])*0.25,0)</f>
        <v>0</v>
      </c>
      <c r="AE7" s="107">
        <f>Tabla1[PLASCORE COST]+Tabla1[ALUMUNUM COST]+Tabla1[HARDWARE COST]</f>
        <v>567.15670270833334</v>
      </c>
      <c r="AF7" s="110">
        <f>Tabla1[PREPPING]+Tabla1[DESIGN]</f>
        <v>161.23333333333332</v>
      </c>
      <c r="AG7" s="47">
        <f>IF(Tabla1[INCH/METER TO INCH WIDTH]&gt;0,(IFERROR(((((AJ7*2)+(AK7*2))/18)+(AR7-1)*4)*AG$5,0)),0)</f>
        <v>107.48888888888888</v>
      </c>
      <c r="AH7" s="47">
        <f>IF(Tabla1[INCH/METER TO INCH WIDTH]&gt;0,(IFERROR(((((AJ7*2)+(AK7*2))/18)+(AR7-1)*4)*AH$5,0)),0)</f>
        <v>53.74444444444444</v>
      </c>
      <c r="AI7" s="209"/>
      <c r="AJ7" s="38">
        <f>IF(Tabla1[WIDTH (M)]&gt;0.0001,Tabla1[WIDTH (M)]*39.37,J7)</f>
        <v>78.739999999999995</v>
      </c>
      <c r="AK7" s="39">
        <f>IF(Tabla1[HEIGHT (M)]&gt;0.0001,Tabla1[HEIGHT (M)]*39.37,K7)</f>
        <v>78.739999999999995</v>
      </c>
      <c r="AL7" s="155">
        <f>((Tabla1[INCH/METER TO INCH HEIGHT]+Tabla1[INCH/METER TO INCH WIDTH])*2)/12</f>
        <v>26.246666666666666</v>
      </c>
      <c r="AM7" s="155">
        <f>Tabla1[Perimeter ALUM Linear ft]*1.15</f>
        <v>30.183666666666664</v>
      </c>
      <c r="AN7" s="155">
        <f>((Tabla1[WIDTH]+Tabla1[HEIGHT])*2)/12</f>
        <v>19.684999999999999</v>
      </c>
      <c r="AO7" s="40">
        <f>IFERROR((AJ7)/AR7,0)</f>
        <v>39.369999999999997</v>
      </c>
      <c r="AP7" s="40">
        <f>AK7</f>
        <v>78.739999999999995</v>
      </c>
      <c r="AQ7" s="156">
        <f>IF(AK7&lt;120.01,AJ7/42,IF(AND(AK7&lt;132.01,AK7&gt;120),AJ7/41,IF(AND(AK7&lt;144.01,AK7&gt;132),AJ7/40,IF(AND(AK7&lt;156.01,AK7&gt;144),AJ7/39,IF(AND(AK7&lt;168.01,AK7&gt;156),AJ7/39,IF(AK7&gt;168,"Not Certified",0))))))</f>
        <v>1.8747619047619046</v>
      </c>
      <c r="AR7" s="40">
        <f>IFERROR(ROUNDUP((AQ7),0),0)</f>
        <v>2</v>
      </c>
      <c r="AS7" s="40">
        <f>IF(Tabla1[PANELS QTY]&gt;1,Tabla1[PANELS QTY]-1,0)</f>
        <v>1</v>
      </c>
      <c r="AT7" s="40">
        <f>(AJ7/12)*(AK7/12)</f>
        <v>43.055469444444441</v>
      </c>
      <c r="AU7" s="40">
        <f>IFERROR(AT7*1.05,0)</f>
        <v>45.208242916666663</v>
      </c>
      <c r="AV7" s="40">
        <f>IFERROR(Tabla1[RETAIL TOTAL PRICE (SALES PRICE)]/AT$7,0)</f>
        <v>32.197467645903039</v>
      </c>
      <c r="AW7" s="209"/>
      <c r="AX7" s="48">
        <f>(AU7)*AX$5</f>
        <v>248.64533604166664</v>
      </c>
      <c r="AY7" s="48">
        <f>Tabla1[H2 -TRACK COST]+Tabla1[H3 - TRACK COST]+Tabla1[2" X 2" X 3/16" ANGLE COST]+Tabla1[3" X 3" X 1/4" ANGLE COST]+Tabla1[2" X 2" X 3/16" TUBO COST]+Tabla1[ALUM WASHER]</f>
        <v>179.80099999999999</v>
      </c>
      <c r="AZ7" s="48">
        <f>Tabla1[[#This Row],[3M TAPE COST]]+Tabla1[EMPAQUE ALUMINUM COST]+Tabla1[INSERTS COST]+Tabla1[SHORT SCREWS 1 1/2"]+Tabla1[LONG SCREW 2"]+Tabla1[STICKERS COST]+Tabla1[TAPITAS COST]+Tabla1[ALUM WASHER]</f>
        <v>138.71036666666669</v>
      </c>
      <c r="BA7" s="85">
        <f>ROUNDUP((Tabla1[INCH/METER TO INCH HEIGHT]/12),0)</f>
        <v>7</v>
      </c>
      <c r="BB7" s="49">
        <f>Tabla1[PANELS QTY]-1</f>
        <v>1</v>
      </c>
      <c r="BC7" s="236">
        <f>IF(AND(Tabla1[Beach Front (x)]="",AP7&lt;120),(IF(0.01&lt;BA7&lt;8.1,8*BB7,BA7*BB7))*BC$5,0)</f>
        <v>89.25</v>
      </c>
      <c r="BD7" s="236">
        <f>IF(OR(Tabla1[Beach Front (x)]="x",AP7&gt;119.9999),(Tabla1[Height Linear FT]*Tabla1[QTY])*BD$5,0)</f>
        <v>0</v>
      </c>
      <c r="BE7" s="236">
        <f>IF(Tabla1[Beach Front (x)]="",IF(Tabla1[Outside       (x) ]="",IF(Tabla1[INCH/METER TO INCH HEIGHT]&lt;96,Tabla1[Perimeter ALUM linear foot + 15%]*BE$5,0),0),0)</f>
        <v>90.550999999999988</v>
      </c>
      <c r="BF7" s="236">
        <f>IF(OR(Tabla1[[#This Row],[INCH/METER TO INCH HEIGHT]]&gt;95.999,Tabla1[Beach Front (x)]="x"),IF(Tabla1[[#This Row],[Outside       (x) ]]="",Tabla1[[#This Row],[Perimeter ALUM linear foot + 15%]]*BF$5,0),0)</f>
        <v>0</v>
      </c>
      <c r="BG7" s="237">
        <f>IF(Tabla1[Outside       (x) ]="X",Tabla1[Perimeter ALUM linear foot + 15%]*BG$5,0)</f>
        <v>0</v>
      </c>
      <c r="BH7" s="236">
        <f>IFERROR(((Tabla1[Perimter of each panel FT]*Tabla1[PANELS QTY]))*BH$5,0)</f>
        <v>31.1023</v>
      </c>
      <c r="BI7" s="236">
        <f>IFERROR((Tabla1[Perimeter ALUM Linear ft])*BI$5,0)</f>
        <v>34.90806666666667</v>
      </c>
      <c r="BJ7" s="236">
        <f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f>
        <v>20</v>
      </c>
      <c r="BK7" s="236">
        <f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f>
        <v>20</v>
      </c>
      <c r="BL7" s="236">
        <f>((ROUNDUP((Tabla1[WIDTH]/18),0))*2*Tabla1[PANELS QTY])+((ROUNDUP((Tabla1[INCH/METER TO INCH HEIGHT]/18),0))*2)+(IF(Tabla1[INCH/METER TO INCH HEIGHT]&gt;119.99,Tabla1[H POST QTY]*8,(Tabla1[H POST QTY]*4)))*BL$5</f>
        <v>24</v>
      </c>
      <c r="BM7" s="47">
        <f>IF(Tabla1[[#This Row],[INCH/METER TO INCH WIDTH]]&gt;1,(((4+Tabla1[PANELS QTY]+Tabla1[H POST QTY]))*BM$5),0)</f>
        <v>4.8999999999999995</v>
      </c>
      <c r="BN7" s="236">
        <f>IF(AK7&lt;120.01,0,IF(AND(AK7&lt;132.01,AK7&gt;120),2+AR7*2,IF(AND(AK7&lt;144.01,AK7&gt;132),4+AR7*2,IF(AND(AK7&lt;156.01,AK7&gt;144),6+(AR7*2),IF(AND(AK7&lt;168.01,AK7&gt;156),(6+(AR7*2)),0)))))*BN$5</f>
        <v>0</v>
      </c>
      <c r="BO7" s="111">
        <f>(((ROUNDUP((Tabla1[INCH/METER TO INCH HEIGHT]/18),0))*2)+((ROUNDUP((Tabla1[INCH/METER TO INCH WIDTH]/18),0))*2))*BO$5</f>
        <v>3.8</v>
      </c>
      <c r="BP7" s="207"/>
      <c r="BQ7" s="50" t="str">
        <f>"S00001"</f>
        <v>S00001</v>
      </c>
      <c r="BR7" s="50"/>
      <c r="BS7" s="50" t="str">
        <f>CONCATENATE(Tabla1[[#This Row],[ID CODE]],"  ",Tabla1[[#This Row],[LOCATION]],"-",Tabla1[AREA]," - ",Tabla1[[#This Row],[WIDTH (M)]]," x ",Tabla1[[#This Row],[HEIGHT (M)]]," M")</f>
        <v xml:space="preserve">  - - 2 x 2 M</v>
      </c>
      <c r="BT7" s="50" t="str">
        <f>"1"</f>
        <v>1</v>
      </c>
      <c r="BU7" s="50">
        <f>Tabla1[RETAIL TOTAL PRICE (SALES PRICE)]</f>
        <v>1386.2770844166666</v>
      </c>
      <c r="BV7" s="50"/>
      <c r="BW7" s="50"/>
      <c r="BX7" s="50" t="str">
        <f>J$1</f>
        <v>SET</v>
      </c>
      <c r="BY7" s="50" t="str">
        <f>F$1</f>
        <v>ABC12</v>
      </c>
      <c r="BZ7" s="50" t="str">
        <f>F$2</f>
        <v>A</v>
      </c>
      <c r="CA7" s="112" t="str">
        <f>"S00001"</f>
        <v>S00001</v>
      </c>
      <c r="CB7" s="52"/>
      <c r="CC7" s="52" t="str">
        <f>CONCATENATE(Tabla1[[#This Row],[ID CODE]],"  ",Tabla1[[#This Row],[LOCATION]]," - ",Tabla1[[#This Row],[AREA]]," - ",Tabla1[[#This Row],[INCH/METER TO INCH WIDTH]]," x ",Tabla1[[#This Row],[INCH/METER TO INCH HEIGHT]]," In")</f>
        <v xml:space="preserve">   -  - 78.74 x 78.74 In</v>
      </c>
      <c r="CD7" s="52">
        <f>(1)</f>
        <v>1</v>
      </c>
      <c r="CE7" s="52">
        <f>Tabla1[RETAIL TOTAL PRICE (SALES PRICE)]</f>
        <v>1386.2770844166666</v>
      </c>
      <c r="CF7" s="52"/>
      <c r="CG7" s="52"/>
      <c r="CH7" s="52" t="str">
        <f>J$1</f>
        <v>SET</v>
      </c>
      <c r="CI7" s="52" t="str">
        <f>F$1</f>
        <v>ABC12</v>
      </c>
      <c r="CJ7" s="52" t="str">
        <f>F$2</f>
        <v>A</v>
      </c>
      <c r="CK7" s="231"/>
      <c r="CL7" s="232"/>
      <c r="CM7" s="113">
        <f>Tabla1[Height Linear FT]</f>
        <v>7</v>
      </c>
      <c r="CN7" s="113">
        <f>Tabla1[QTY]</f>
        <v>1</v>
      </c>
      <c r="CO7" s="115">
        <f t="shared" ref="CO7" si="0">IF(CM7&lt;8.1,CN7*1,"-")</f>
        <v>1</v>
      </c>
      <c r="CP7" s="114" t="str">
        <f t="shared" ref="CP7" si="1">IF(CM7=9,CN7*1,"-")</f>
        <v>-</v>
      </c>
      <c r="CQ7" s="114" t="str">
        <f t="shared" ref="CQ7" si="2">IF(CM7=10,CN7*1,"-")</f>
        <v>-</v>
      </c>
      <c r="CR7" s="114" t="str">
        <f t="shared" ref="CR7" si="3">IF(CM7=11,CN7*1,"-")</f>
        <v>-</v>
      </c>
      <c r="CS7" s="114" t="str">
        <f t="shared" ref="CS7" si="4">IF(CM7=12,CN7*1,"-")</f>
        <v>-</v>
      </c>
      <c r="CT7" s="114" t="str">
        <f t="shared" ref="CT7" si="5">IF(CM7=13,CN7*1,"-")</f>
        <v>-</v>
      </c>
      <c r="CU7" s="114" t="str">
        <f t="shared" ref="CU7" si="6">IF(CM7=14,CN7*1,"-")</f>
        <v>-</v>
      </c>
      <c r="CV7" s="115">
        <f>IF(Tabla1[PANELS QTY]&gt;0.1,((Tabla1[Perimter of each panel FT]*Tabla1[PANELS QTY]*1.03)/108),0)</f>
        <v>0.37547314814814814</v>
      </c>
      <c r="CW7" s="116">
        <f>(Tabla1[Perimeter ALUM Linear ft]*1.03)/32</f>
        <v>0.84481458333333337</v>
      </c>
      <c r="CX7" s="116">
        <f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f>
        <v>20</v>
      </c>
      <c r="CY7" s="116">
        <f>IF(AK7&lt;120.01,0,IF(AND(AK7&lt;132.01,AK7&gt;120),2+AR7*2,IF(AND(AK7&lt;144.01,AK7&gt;132),4+AR7*2,IF(AND(AK7&lt;156.01,AK7&gt;144),6+(AR7*2),IF(AND(AK7&lt;168.01,AK7&gt;156),(6+(AR7*2)),0)))))</f>
        <v>0</v>
      </c>
      <c r="CZ7" s="114">
        <f>IF(Tabla1[INCH/METER TO INCH HEIGHT]&lt;119.99,(((ROUNDUP((Tabla1[INCH/METER TO INCH HEIGHT]/18),0))*2)+((ROUNDUP((Tabla1[INCH/METER TO INCH WIDTH]/18),0))*2)),(((ROUNDUP((Tabla1[INCH/METER TO INCH HEIGHT]/18),0))*2)+((ROUNDUP((Tabla1[INCH/METER TO INCH WIDTH]/18),0))*2)+Tabla1[H POST QTY]*6))</f>
        <v>20</v>
      </c>
      <c r="DA7" s="117">
        <f>((ROUNDUP((Tabla1[WIDTH]/18),0))*2*Tabla1[PANELS QTY])+((ROUNDUP((Tabla1[INCH/METER TO INCH HEIGHT]/18),0))*2)+(IF(Tabla1[INCH/METER TO INCH HEIGHT]&gt;119.99,Tabla1[H POST QTY]*8,(Tabla1[H POST QTY]*4)))</f>
        <v>26</v>
      </c>
      <c r="DB7" s="116">
        <f>IF(Tabla1[PANELS QTY]&gt;0,((4+Tabla1[PANELS QTY]+Tabla1[H POST QTY])),0)*1.05</f>
        <v>7.3500000000000005</v>
      </c>
      <c r="DC7" s="116">
        <f>CX7*1.05</f>
        <v>21</v>
      </c>
      <c r="DD7" s="118" t="str">
        <f>(IF(Tabla1[3" X 3" X 1/4" ANGLE COST]&gt;0,"3 x 3 x 1/4",(IF(Tabla1[2" X 2" X 3/16" ANGLE COST]&gt;0,"2 x 2 x 3/16","Tube"))))</f>
        <v>2 x 2 x 3/16</v>
      </c>
      <c r="DE7" s="119">
        <f>Tabla1[INCH/METER TO INCH WIDTH]/12</f>
        <v>6.5616666666666665</v>
      </c>
      <c r="DF7" s="119">
        <f>Tabla1[INCH/METER TO INCH WIDTH]/12</f>
        <v>6.5616666666666665</v>
      </c>
      <c r="DG7" s="119">
        <f>Tabla1[INCH/METER TO INCH HEIGHT]/12</f>
        <v>6.5616666666666665</v>
      </c>
      <c r="DH7" s="119">
        <f>Tabla1[INCH/METER TO INCH HEIGHT]/12</f>
        <v>6.5616666666666665</v>
      </c>
      <c r="DI7" s="208"/>
    </row>
    <row r="8" spans="1:126" ht="34.9" customHeight="1" thickTop="1" thickBot="1">
      <c r="A8" s="270"/>
      <c r="B8" s="269"/>
      <c r="C8" s="238"/>
      <c r="D8" s="239"/>
      <c r="E8" s="239"/>
      <c r="F8" s="240"/>
      <c r="G8" s="240"/>
      <c r="H8" s="240"/>
      <c r="I8" s="240"/>
      <c r="J8" s="240"/>
      <c r="K8" s="240"/>
      <c r="L8" s="242"/>
      <c r="M8" s="244">
        <f>SUBTOTAL(109,Tabla1[RETAIL TOTAL PRICE (SALES PRICE)])</f>
        <v>1386.2770844166666</v>
      </c>
      <c r="N8" s="245">
        <f>SUBTOTAL(109,Tabla1[RETAIL FABRICATION PRICE (SALES PRICE)])</f>
        <v>1187.836058775641</v>
      </c>
      <c r="O8" s="245">
        <f>SUBTOTAL(109,Tabla1[TOTAL INSTALLATION])</f>
        <v>198.44102564102565</v>
      </c>
      <c r="P8" s="246"/>
      <c r="Q8" s="247">
        <f>SUBTOTAL(109,Tabla1[SPECIAL PARTS
($)])</f>
        <v>0</v>
      </c>
      <c r="R8" s="267">
        <f>SUBTOTAL(109,Tabla1[SPECIAL LABOR
($)])</f>
        <v>0</v>
      </c>
      <c r="S8" s="268"/>
      <c r="T8" s="259">
        <f>SUBTOTAL(109,Tabla1[RETAIL TOTAL PRICE (SALES PRICE)])</f>
        <v>1386.2770844166666</v>
      </c>
      <c r="U8" s="245">
        <f>SUBTOTAL(109,Tabla1[TOTAL INSTALLATION])</f>
        <v>198.44102564102565</v>
      </c>
      <c r="V8" s="247">
        <f>SUBTOTAL(109,Tabla1[INSTALLATION PROFIT])</f>
        <v>69.454358974358968</v>
      </c>
      <c r="W8" s="248">
        <f>SUBTOTAL(109,Tabla1[[INSTALLATION ]])</f>
        <v>128.98666666666668</v>
      </c>
      <c r="X8" s="258">
        <f>SUBTOTAL(109,Tabla1[SCAFFOLDING IF NECCESARY])</f>
        <v>0</v>
      </c>
      <c r="Y8" s="274"/>
      <c r="Z8" s="256">
        <f>SUBTOTAL(109,Tabla1[RETAIL FABRICATION PRICE (SALES PRICE)])</f>
        <v>1187.836058775641</v>
      </c>
      <c r="AA8" s="249">
        <f>SUBTOTAL(109,Tabla1[WHOLESALE FABRICATION PRICE])</f>
        <v>1120.600055448718</v>
      </c>
      <c r="AB8" s="260">
        <f>SUBTOTAL(109,Tabla1[PROFIT])</f>
        <v>392.21001940705128</v>
      </c>
      <c r="AC8" s="249">
        <f>SUBTOTAL(109,Tabla1[UNIT COST  (MATERIALS + FABRICATION)])</f>
        <v>728.39003604166669</v>
      </c>
      <c r="AD8" s="257">
        <f>SUBTOTAL(109,Tabla1[ARCH FEE 
(25% FEE)])</f>
        <v>0</v>
      </c>
      <c r="AE8" s="260">
        <f>SUBTOTAL(109,Tabla1[TOTAL MATERIALS (PLASCORE + ALUMN + HARDWARE)])</f>
        <v>567.15670270833334</v>
      </c>
      <c r="AF8" s="257">
        <f>SUBTOTAL(109,Tabla1[TOTAL FABRICATION LABOR
(PREP + DESIGN)])</f>
        <v>161.23333333333332</v>
      </c>
      <c r="AG8" s="249">
        <f>SUBTOTAL(109,Tabla1[PREPPING])</f>
        <v>107.48888888888888</v>
      </c>
      <c r="AH8" s="257">
        <f>SUBTOTAL(109,Tabla1[DESIGN])</f>
        <v>53.74444444444444</v>
      </c>
      <c r="AI8" s="274"/>
      <c r="AJ8" s="241"/>
      <c r="AK8" s="241"/>
      <c r="AL8" s="272"/>
      <c r="AM8" s="272"/>
      <c r="AN8" s="271"/>
      <c r="AO8" s="242"/>
      <c r="AP8" s="242"/>
      <c r="AQ8" s="242"/>
      <c r="AR8" s="243">
        <f>SUBTOTAL(109,Tabla1[PANELS QTY])</f>
        <v>2</v>
      </c>
      <c r="AS8" s="243">
        <f>SUBTOTAL(109,Tabla1[H POST QTY])</f>
        <v>1</v>
      </c>
      <c r="AT8" s="243">
        <f>SUBTOTAL(109,Tabla1[PLASCORE SQFT])</f>
        <v>43.055469444444441</v>
      </c>
      <c r="AU8" s="242"/>
      <c r="AV8" s="242"/>
      <c r="AW8" s="274"/>
      <c r="AX8" s="249">
        <f>SUBTOTAL(109,Tabla1[PLASCORE COST])</f>
        <v>248.64533604166664</v>
      </c>
      <c r="AY8" s="249">
        <f>SUBTOTAL(109,Tabla1[ALUMUNUM COST])</f>
        <v>179.80099999999999</v>
      </c>
      <c r="AZ8" s="249">
        <f>SUBTOTAL(109,Tabla1[HARDWARE COST])</f>
        <v>138.71036666666669</v>
      </c>
      <c r="BA8" s="254"/>
      <c r="BB8" s="255"/>
      <c r="BC8" s="280">
        <f>SUBTOTAL(109,Tabla1[H2 -TRACK COST])</f>
        <v>89.25</v>
      </c>
      <c r="BD8" s="280">
        <f>SUBTOTAL(109,Tabla1[H3 - TRACK COST])</f>
        <v>0</v>
      </c>
      <c r="BE8" s="280">
        <f>SUBTOTAL(109,Tabla1[2" X 2" X 3/16" ANGLE COST])</f>
        <v>90.550999999999988</v>
      </c>
      <c r="BF8" s="280">
        <f>SUBTOTAL(109,Tabla1[3" X 3" X 1/4" ANGLE COST])</f>
        <v>0</v>
      </c>
      <c r="BG8" s="280">
        <f>SUBTOTAL(109,Tabla1[] Tabla1[2" X 2" X 3/16" TUBO COST] )</f>
        <v>0</v>
      </c>
      <c r="BH8" s="281">
        <f>SUBTOTAL(109,Tabla1[3M TAPE COST])</f>
        <v>31.1023</v>
      </c>
      <c r="BI8" s="281">
        <f>SUBTOTAL(109,Tabla1[EMPAQUE ALUMINUM COST])</f>
        <v>34.90806666666667</v>
      </c>
      <c r="BJ8" s="281">
        <f>SUBTOTAL(109,Tabla1[INSERTS COST])</f>
        <v>20</v>
      </c>
      <c r="BK8" s="281">
        <f>SUBTOTAL(109,Tabla1[SHORT SCREWS 1 1/2"])</f>
        <v>20</v>
      </c>
      <c r="BL8" s="281">
        <f>SUBTOTAL(109,Tabla1[LONG SCREW 2"])</f>
        <v>24</v>
      </c>
      <c r="BM8" s="249">
        <f>SUBTOTAL(109,Tabla1[STICKERS COST])</f>
        <v>4.8999999999999995</v>
      </c>
      <c r="BN8" s="249">
        <f>SUBTOTAL(109,Tabla1[ALUM WASHER])</f>
        <v>0</v>
      </c>
      <c r="BO8" s="261">
        <f>SUBTOTAL(109,Tabla1[TAPITAS COST])</f>
        <v>3.8</v>
      </c>
      <c r="BP8" s="273"/>
      <c r="BQ8" s="262" t="s">
        <v>113</v>
      </c>
      <c r="BR8" s="262"/>
      <c r="BS8" s="262" t="s">
        <v>114</v>
      </c>
      <c r="BT8" s="262" t="s">
        <v>115</v>
      </c>
      <c r="BU8" s="250">
        <f>M2</f>
        <v>55.451083376666666</v>
      </c>
      <c r="BV8" s="262"/>
      <c r="BW8" s="262"/>
      <c r="BX8" s="262" t="str">
        <f>$J1</f>
        <v>SET</v>
      </c>
      <c r="BY8" s="262" t="str">
        <f>F$1</f>
        <v>ABC12</v>
      </c>
      <c r="BZ8" s="262" t="str">
        <f>F$2</f>
        <v>A</v>
      </c>
      <c r="CA8" s="263" t="s">
        <v>113</v>
      </c>
      <c r="CB8" s="251"/>
      <c r="CC8" s="251" t="s">
        <v>116</v>
      </c>
      <c r="CD8" s="251" t="s">
        <v>115</v>
      </c>
      <c r="CE8" s="251">
        <f>M2</f>
        <v>55.451083376666666</v>
      </c>
      <c r="CF8" s="251"/>
      <c r="CG8" s="251"/>
      <c r="CH8" s="251" t="str">
        <f>$J1</f>
        <v>SET</v>
      </c>
      <c r="CI8" s="251" t="str">
        <f>F$1</f>
        <v>ABC12</v>
      </c>
      <c r="CJ8" s="251" t="str">
        <f>F$2</f>
        <v>A</v>
      </c>
      <c r="CK8" s="275"/>
      <c r="CL8" s="276" t="s">
        <v>117</v>
      </c>
      <c r="CM8" s="282" t="s">
        <v>117</v>
      </c>
      <c r="CN8" s="282" t="s">
        <v>117</v>
      </c>
      <c r="CO8" s="266">
        <f>SUBTOTAL(109,Tabla1[[#Headers],[#Data],[8 FOOT H2 - TRACK QTY]])</f>
        <v>1</v>
      </c>
      <c r="CP8" s="252">
        <f>SUBTOTAL(109,Tabla1[[#Headers],[#Data],[9 FOOT H2 - TRACK QTY]])</f>
        <v>0</v>
      </c>
      <c r="CQ8" s="252">
        <f>SUBTOTAL(109,Tabla1[[#Headers],[#Data],[10 FOOT H2 -TRACK QTY]])</f>
        <v>0</v>
      </c>
      <c r="CR8" s="252">
        <f>SUBTOTAL(109,Tabla1[[#Headers],[#Data],[11 FOOT H3 -TRACK QTY]])</f>
        <v>0</v>
      </c>
      <c r="CS8" s="252">
        <f>SUBTOTAL(109,Tabla1[[#Headers],[#Data],[12 FOOT H3 -TRACK QTY]])</f>
        <v>0</v>
      </c>
      <c r="CT8" s="252">
        <f>SUBTOTAL(109,Tabla1[[#Headers],[#Data],[13 FOOT H3 -TRACK QTY]])</f>
        <v>0</v>
      </c>
      <c r="CU8" s="252">
        <f>SUBTOTAL(109,Tabla1[[#Headers],[#Data],[14 FOOT H3 - TRACK COST]])</f>
        <v>0</v>
      </c>
      <c r="CV8" s="253">
        <f>SUBTOTAL(109,Tabla1[108lnft 3m Rolls])</f>
        <v>0.37547314814814814</v>
      </c>
      <c r="CW8" s="252">
        <f>SUBTOTAL(109,Tabla1[[#Headers],[#Data],[EMPAQUE ALUMINUM COST ]])</f>
        <v>0.84481458333333337</v>
      </c>
      <c r="CX8" s="252">
        <f>SUBTOTAL(109,Tabla1[[#Headers],[#Data],[INSERTS QTY]])</f>
        <v>20</v>
      </c>
      <c r="CY8" s="252">
        <f>SUBTOTAL(109,Tabla1[ALUM WASHER2])</f>
        <v>0</v>
      </c>
      <c r="CZ8" s="252">
        <f>SUBTOTAL(109,Tabla1[1 1/2" SCREWS])</f>
        <v>20</v>
      </c>
      <c r="DA8" s="252">
        <f>SUBTOTAL(109,Tabla1[[#Headers],[#Data],[2" SCREWS QTY]])</f>
        <v>26</v>
      </c>
      <c r="DB8" s="252">
        <f>SUBTOTAL(109,Tabla1[[#Headers],[#Data],[STICKERS QTY]])</f>
        <v>7.3500000000000005</v>
      </c>
      <c r="DC8" s="252">
        <f>SUBTOTAL(109,Tabla1[[#Headers],[#Data],[TAPITAS QTY]])</f>
        <v>21</v>
      </c>
      <c r="DD8" s="264"/>
      <c r="DE8" s="265"/>
      <c r="DF8" s="265"/>
      <c r="DG8" s="265"/>
      <c r="DH8" s="265"/>
      <c r="DI8" s="283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</row>
    <row r="9" spans="1:126" ht="16.5" thickTop="1">
      <c r="A9" s="12"/>
      <c r="C9" s="12"/>
      <c r="D9" s="54"/>
      <c r="E9" s="54"/>
      <c r="F9" s="54"/>
      <c r="G9" s="54"/>
      <c r="H9" s="54"/>
      <c r="I9" s="54"/>
      <c r="J9" s="54"/>
      <c r="K9" s="54"/>
      <c r="L9" s="192"/>
      <c r="M9" s="12"/>
      <c r="N9" s="12"/>
      <c r="O9" s="12"/>
      <c r="P9" s="12"/>
      <c r="Q9" s="12"/>
      <c r="R9" s="12"/>
      <c r="S9" s="12"/>
      <c r="U9" s="12"/>
      <c r="V9" s="12"/>
      <c r="W9" s="12"/>
      <c r="X9" s="12"/>
      <c r="Y9" s="157"/>
      <c r="AA9" s="56"/>
      <c r="AE9" s="57"/>
      <c r="AM9" s="145"/>
      <c r="AN9" s="204"/>
      <c r="AO9" s="58"/>
      <c r="AT9" s="58"/>
      <c r="AX9" s="123"/>
      <c r="BA9" s="55"/>
      <c r="BB9" s="55"/>
      <c r="BC9" s="55"/>
      <c r="BH9" s="313"/>
      <c r="BI9" s="313"/>
      <c r="BJ9" s="313"/>
      <c r="BP9" s="206"/>
      <c r="BQ9" s="196" t="s">
        <v>113</v>
      </c>
      <c r="BR9" s="158"/>
      <c r="BS9" s="158" t="s">
        <v>118</v>
      </c>
      <c r="BT9" s="158" t="s">
        <v>115</v>
      </c>
      <c r="BU9" s="159">
        <v>2000</v>
      </c>
      <c r="BV9" s="158"/>
      <c r="BW9" s="158"/>
      <c r="BX9" s="158" t="str">
        <f>$J1</f>
        <v>SET</v>
      </c>
      <c r="BY9" s="158" t="str">
        <f>F$1</f>
        <v>ABC12</v>
      </c>
      <c r="BZ9" s="160" t="str">
        <f>F$2</f>
        <v>A</v>
      </c>
      <c r="CA9" s="51" t="s">
        <v>113</v>
      </c>
      <c r="CB9" s="51"/>
      <c r="CC9" s="51" t="s">
        <v>118</v>
      </c>
      <c r="CD9" s="51">
        <v>1</v>
      </c>
      <c r="CE9" s="59">
        <v>2000</v>
      </c>
      <c r="CF9" s="51"/>
      <c r="CG9" s="51"/>
      <c r="CH9" s="51" t="str">
        <f>$J1</f>
        <v>SET</v>
      </c>
      <c r="CI9" s="51" t="str">
        <f>F$1</f>
        <v>ABC12</v>
      </c>
      <c r="CJ9" s="80" t="str">
        <f>F$2</f>
        <v>A</v>
      </c>
      <c r="CO9" s="60" t="s">
        <v>119</v>
      </c>
      <c r="CP9" s="60" t="s">
        <v>120</v>
      </c>
      <c r="CQ9" s="60" t="s">
        <v>121</v>
      </c>
      <c r="CR9" s="60" t="s">
        <v>122</v>
      </c>
      <c r="CS9" s="60" t="s">
        <v>123</v>
      </c>
      <c r="CT9" s="60" t="s">
        <v>124</v>
      </c>
      <c r="CU9" s="60" t="s">
        <v>125</v>
      </c>
      <c r="CV9" s="60" t="s">
        <v>126</v>
      </c>
      <c r="CW9" s="60" t="s">
        <v>127</v>
      </c>
      <c r="CX9" s="60" t="s">
        <v>128</v>
      </c>
      <c r="CY9" s="60" t="s">
        <v>169</v>
      </c>
      <c r="CZ9" s="60" t="s">
        <v>129</v>
      </c>
      <c r="DA9" s="60" t="s">
        <v>130</v>
      </c>
      <c r="DB9" s="60" t="s">
        <v>131</v>
      </c>
      <c r="DC9" s="60" t="s">
        <v>132</v>
      </c>
      <c r="DI9" s="66"/>
      <c r="DJ9" s="66"/>
      <c r="DK9" s="66"/>
      <c r="DL9" s="66"/>
      <c r="DM9" s="66"/>
      <c r="DN9" s="66"/>
      <c r="DO9" s="66"/>
      <c r="DP9" s="66"/>
      <c r="DQ9" s="66"/>
      <c r="DR9" s="66"/>
      <c r="DS9" s="66"/>
      <c r="DT9" s="66"/>
      <c r="DU9" s="66"/>
      <c r="DV9" s="66"/>
    </row>
    <row r="10" spans="1:126" ht="16.5" thickBot="1">
      <c r="E10" s="61"/>
      <c r="F10" s="61"/>
      <c r="G10" s="61"/>
      <c r="H10" s="61"/>
      <c r="I10" s="61"/>
      <c r="J10" s="61"/>
      <c r="K10" s="61"/>
      <c r="M10" s="12"/>
      <c r="N10" s="12"/>
      <c r="O10" s="12"/>
      <c r="P10" s="12"/>
      <c r="Q10" s="12"/>
      <c r="R10" s="12"/>
      <c r="S10" s="12"/>
      <c r="U10" s="12"/>
      <c r="V10" s="12"/>
      <c r="W10" s="12"/>
      <c r="X10" s="12"/>
      <c r="Y10" s="12"/>
      <c r="BQ10" s="161"/>
      <c r="BR10" s="161"/>
      <c r="BS10" s="161"/>
      <c r="BT10" s="161"/>
      <c r="BU10" s="162"/>
      <c r="BV10" s="161"/>
      <c r="BW10" s="161"/>
      <c r="BX10" s="161"/>
      <c r="BY10" s="161"/>
      <c r="BZ10" s="161"/>
      <c r="CA10" s="62"/>
      <c r="CB10" s="63"/>
      <c r="CC10" s="63"/>
      <c r="CD10" s="63"/>
      <c r="CE10" s="64"/>
      <c r="CF10" s="63"/>
      <c r="CG10" s="63"/>
      <c r="CH10" s="63"/>
      <c r="CI10" s="63"/>
      <c r="CJ10" s="81"/>
      <c r="CZ10" s="128"/>
    </row>
    <row r="11" spans="1:126">
      <c r="C11" s="12"/>
      <c r="D11" s="12"/>
      <c r="E11" s="12"/>
      <c r="M11" s="12"/>
      <c r="N11" s="12"/>
      <c r="O11" s="12"/>
      <c r="P11" s="12"/>
      <c r="Q11" s="12"/>
      <c r="R11" s="12"/>
      <c r="S11" s="12"/>
      <c r="U11" s="12"/>
      <c r="V11" s="12"/>
      <c r="W11" s="12"/>
      <c r="X11" s="12"/>
      <c r="Y11" s="12"/>
      <c r="AK11" s="12"/>
      <c r="AL11" s="12"/>
      <c r="AM11" s="12"/>
      <c r="AO11" s="12"/>
      <c r="AP11" s="12"/>
      <c r="AQ11" s="12"/>
      <c r="BH11" s="65"/>
      <c r="BI11" s="65"/>
      <c r="BQ11" s="333" t="s">
        <v>133</v>
      </c>
      <c r="BR11" s="333"/>
      <c r="BS11" s="333"/>
      <c r="BT11" s="333"/>
      <c r="BU11" s="333"/>
      <c r="BV11" s="333"/>
      <c r="BW11" s="333"/>
      <c r="BX11" s="333"/>
      <c r="BY11" s="333"/>
      <c r="BZ11" s="334"/>
      <c r="CA11" s="314" t="s">
        <v>134</v>
      </c>
      <c r="CB11" s="315"/>
      <c r="CC11" s="315"/>
      <c r="CD11" s="315"/>
      <c r="CE11" s="315"/>
      <c r="CF11" s="315"/>
      <c r="CG11" s="315"/>
      <c r="CH11" s="315"/>
      <c r="CI11" s="315"/>
      <c r="CJ11" s="315"/>
      <c r="CZ11" s="128"/>
      <c r="DA11" s="66"/>
      <c r="DB11" s="66"/>
      <c r="DC11" s="66"/>
      <c r="DD11" s="66"/>
      <c r="DE11" s="66"/>
      <c r="DF11" s="66"/>
      <c r="DG11" s="66"/>
      <c r="DH11" s="66"/>
    </row>
    <row r="12" spans="1:126">
      <c r="C12" s="12"/>
      <c r="D12" s="12"/>
      <c r="E12" s="12"/>
      <c r="M12" s="12"/>
      <c r="N12" s="12"/>
      <c r="O12" s="12"/>
      <c r="P12" s="12"/>
      <c r="Q12" s="12"/>
      <c r="R12" s="12"/>
      <c r="S12" s="12"/>
      <c r="U12" s="12"/>
      <c r="V12" s="12"/>
      <c r="W12" s="12"/>
      <c r="X12" s="12"/>
      <c r="Y12" s="12"/>
      <c r="AK12" s="12"/>
      <c r="AL12" s="12"/>
      <c r="AM12" s="12"/>
      <c r="AO12" s="12"/>
      <c r="AP12" s="12"/>
      <c r="AQ12" s="12"/>
      <c r="BH12" s="65"/>
      <c r="BI12" s="65"/>
      <c r="BQ12" s="335"/>
      <c r="BR12" s="335"/>
      <c r="BS12" s="335"/>
      <c r="BT12" s="335"/>
      <c r="BU12" s="335"/>
      <c r="BV12" s="335"/>
      <c r="BW12" s="335"/>
      <c r="BX12" s="335"/>
      <c r="BY12" s="335"/>
      <c r="BZ12" s="336"/>
      <c r="CA12" s="316"/>
      <c r="CB12" s="317"/>
      <c r="CC12" s="317"/>
      <c r="CD12" s="317"/>
      <c r="CE12" s="317"/>
      <c r="CF12" s="317"/>
      <c r="CG12" s="317"/>
      <c r="CH12" s="317"/>
      <c r="CI12" s="317"/>
      <c r="CJ12" s="317"/>
      <c r="CZ12" s="128"/>
      <c r="DA12" s="66"/>
      <c r="DB12" s="66"/>
      <c r="DC12" s="66"/>
      <c r="DD12" s="66"/>
      <c r="DE12" s="66"/>
      <c r="DF12" s="66"/>
      <c r="DG12" s="66"/>
      <c r="DH12" s="66"/>
    </row>
    <row r="13" spans="1:126" ht="16.5" thickBot="1">
      <c r="C13" s="12"/>
      <c r="D13" s="12"/>
      <c r="E13" s="12"/>
      <c r="M13" s="12"/>
      <c r="N13" s="12"/>
      <c r="O13" s="12"/>
      <c r="P13" s="12"/>
      <c r="Q13" s="12"/>
      <c r="R13" s="12"/>
      <c r="S13" s="12"/>
      <c r="U13" s="12"/>
      <c r="V13" s="12"/>
      <c r="W13" s="12"/>
      <c r="X13" s="12"/>
      <c r="Y13" s="12"/>
      <c r="AK13" s="12"/>
      <c r="AL13" s="12"/>
      <c r="AM13" s="12"/>
      <c r="AO13" s="12"/>
      <c r="AP13" s="12"/>
      <c r="AQ13" s="12"/>
      <c r="BH13" s="65"/>
      <c r="BI13" s="65"/>
      <c r="BM13" s="7" t="s">
        <v>173</v>
      </c>
      <c r="BQ13" s="337"/>
      <c r="BR13" s="337"/>
      <c r="BS13" s="337"/>
      <c r="BT13" s="337"/>
      <c r="BU13" s="337"/>
      <c r="BV13" s="337"/>
      <c r="BW13" s="337"/>
      <c r="BX13" s="337"/>
      <c r="BY13" s="337"/>
      <c r="BZ13" s="338"/>
      <c r="CA13" s="318"/>
      <c r="CB13" s="319"/>
      <c r="CC13" s="319"/>
      <c r="CD13" s="319"/>
      <c r="CE13" s="319"/>
      <c r="CF13" s="319"/>
      <c r="CG13" s="319"/>
      <c r="CH13" s="319"/>
      <c r="CI13" s="319"/>
      <c r="CJ13" s="319"/>
      <c r="CZ13" s="128"/>
      <c r="DA13" s="66"/>
      <c r="DB13" s="66"/>
      <c r="DC13" s="66"/>
      <c r="DD13" s="66"/>
      <c r="DE13" s="66"/>
      <c r="DF13" s="66"/>
      <c r="DG13" s="66"/>
      <c r="DH13" s="66"/>
    </row>
    <row r="14" spans="1:126" ht="31.5">
      <c r="C14" s="12"/>
      <c r="D14" s="12"/>
      <c r="E14" s="12"/>
      <c r="M14" s="12"/>
      <c r="N14" s="12"/>
      <c r="O14" s="12"/>
      <c r="P14" s="12"/>
      <c r="Q14" s="12"/>
      <c r="R14" s="12"/>
      <c r="S14" s="12"/>
      <c r="U14" s="12"/>
      <c r="V14" s="12"/>
      <c r="W14" s="12"/>
      <c r="X14" s="12"/>
      <c r="Y14" s="12"/>
      <c r="AK14" s="12"/>
      <c r="AL14" s="12"/>
      <c r="AM14" s="12"/>
      <c r="AO14" s="12"/>
      <c r="AP14" s="12"/>
      <c r="AQ14" s="12"/>
      <c r="BH14" s="65"/>
      <c r="BI14" s="65"/>
      <c r="BQ14" s="163" t="s">
        <v>73</v>
      </c>
      <c r="BR14" s="163" t="s">
        <v>74</v>
      </c>
      <c r="BS14" s="163" t="s">
        <v>27</v>
      </c>
      <c r="BT14" s="163" t="s">
        <v>75</v>
      </c>
      <c r="BU14" s="164" t="s">
        <v>76</v>
      </c>
      <c r="BV14" s="163" t="s">
        <v>77</v>
      </c>
      <c r="BW14" s="163" t="s">
        <v>78</v>
      </c>
      <c r="BX14" s="163" t="s">
        <v>79</v>
      </c>
      <c r="BY14" s="163" t="s">
        <v>80</v>
      </c>
      <c r="BZ14" s="165" t="s">
        <v>81</v>
      </c>
      <c r="CA14" s="67" t="s">
        <v>73</v>
      </c>
      <c r="CB14" s="67" t="s">
        <v>74</v>
      </c>
      <c r="CC14" s="67" t="s">
        <v>27</v>
      </c>
      <c r="CD14" s="67" t="s">
        <v>75</v>
      </c>
      <c r="CE14" s="68" t="s">
        <v>76</v>
      </c>
      <c r="CF14" s="67" t="s">
        <v>77</v>
      </c>
      <c r="CG14" s="67" t="s">
        <v>78</v>
      </c>
      <c r="CH14" s="67" t="s">
        <v>79</v>
      </c>
      <c r="CI14" s="67" t="s">
        <v>80</v>
      </c>
      <c r="CJ14" s="67" t="s">
        <v>81</v>
      </c>
      <c r="CZ14" s="128"/>
      <c r="DA14" s="66"/>
      <c r="DB14" s="66"/>
      <c r="DC14" s="66"/>
      <c r="DD14" s="66"/>
      <c r="DE14" s="66"/>
      <c r="DF14" s="66"/>
      <c r="DG14" s="66"/>
      <c r="DH14" s="66"/>
    </row>
    <row r="15" spans="1:126">
      <c r="C15" s="12"/>
      <c r="D15" s="12"/>
      <c r="E15" s="12"/>
      <c r="M15" s="12"/>
      <c r="N15" s="12"/>
      <c r="O15" s="12"/>
      <c r="P15" s="12"/>
      <c r="Q15" s="12"/>
      <c r="R15" s="12"/>
      <c r="S15" s="12"/>
      <c r="U15" s="12"/>
      <c r="V15" s="12"/>
      <c r="W15" s="12"/>
      <c r="X15" s="12"/>
      <c r="Y15" s="12"/>
      <c r="BH15" s="65"/>
      <c r="BI15" s="65"/>
      <c r="BQ15" s="166" t="s">
        <v>135</v>
      </c>
      <c r="BR15" s="166"/>
      <c r="BS15" s="166" t="str">
        <f>CONCATENATE("Esta es la instalación estacional estimada, la desinstalación y el almacenamiento del sistema Front Row Hurricane Shutters para la propiedad de",C2, " at ",C3)</f>
        <v xml:space="preserve">Esta es la instalación estacional estimada, la desinstalación y el almacenamiento del sistema Front Row Hurricane Shutters para la propiedad de at </v>
      </c>
      <c r="BT15" s="166" t="s">
        <v>115</v>
      </c>
      <c r="BU15" s="167"/>
      <c r="BV15" s="166"/>
      <c r="BW15" s="166"/>
      <c r="BX15" s="166"/>
      <c r="BY15" s="166" t="str">
        <f>F$1</f>
        <v>ABC12</v>
      </c>
      <c r="BZ15" s="168" t="str">
        <f>F$2</f>
        <v>A</v>
      </c>
      <c r="CA15" s="69" t="s">
        <v>135</v>
      </c>
      <c r="CB15" s="70"/>
      <c r="CC15" s="70" t="str">
        <f>CONCATENATE("This is the estimate seasonal installation, uninstallation and storage of the Front Row Hurricane Shutters system for the property of ",AL2, " at ",AL3)</f>
        <v xml:space="preserve">This is the estimate seasonal installation, uninstallation and storage of the Front Row Hurricane Shutters system for the property of  at </v>
      </c>
      <c r="CD15" s="70" t="s">
        <v>115</v>
      </c>
      <c r="CE15" s="71"/>
      <c r="CF15" s="70"/>
      <c r="CG15" s="70"/>
      <c r="CH15" s="70"/>
      <c r="CI15" s="70" t="str">
        <f>F$1</f>
        <v>ABC12</v>
      </c>
      <c r="CJ15" s="70" t="str">
        <f>F$2</f>
        <v>A</v>
      </c>
      <c r="CZ15" s="128"/>
      <c r="DA15" s="66"/>
      <c r="DB15" s="66"/>
      <c r="DC15" s="66"/>
      <c r="DD15" s="66"/>
      <c r="DE15" s="66"/>
      <c r="DF15" s="66"/>
      <c r="DG15" s="66"/>
      <c r="DH15" s="66"/>
    </row>
    <row r="16" spans="1:126" ht="16.5" thickBot="1">
      <c r="C16" s="12"/>
      <c r="D16" s="12"/>
      <c r="E16" s="12"/>
      <c r="M16" s="12"/>
      <c r="N16" s="12"/>
      <c r="O16" s="12"/>
      <c r="P16" s="12"/>
      <c r="Q16" s="12"/>
      <c r="R16" s="12"/>
      <c r="S16" s="12"/>
      <c r="U16" s="12"/>
      <c r="V16" s="12"/>
      <c r="W16" s="12"/>
      <c r="X16" s="12"/>
      <c r="Y16" s="12"/>
      <c r="AR16" s="72"/>
      <c r="AS16" s="72"/>
      <c r="BH16" s="65"/>
      <c r="BI16" s="65"/>
      <c r="BQ16" s="169"/>
      <c r="BR16" s="169"/>
      <c r="BS16" s="169"/>
      <c r="BT16" s="169"/>
      <c r="BU16" s="170"/>
      <c r="BV16" s="169"/>
      <c r="BW16" s="169"/>
      <c r="BX16" s="169"/>
      <c r="BY16" s="169"/>
      <c r="BZ16" s="171"/>
      <c r="CA16" s="73"/>
      <c r="CB16" s="74"/>
      <c r="CC16" s="74"/>
      <c r="CD16" s="74"/>
      <c r="CE16" s="75"/>
      <c r="CF16" s="74"/>
      <c r="CG16" s="74"/>
      <c r="CH16" s="74"/>
      <c r="CI16" s="74"/>
      <c r="CJ16" s="79"/>
      <c r="CZ16" s="128"/>
    </row>
    <row r="17" spans="3:89">
      <c r="C17" s="12"/>
      <c r="D17" s="12"/>
      <c r="E17" s="12"/>
      <c r="M17" s="12"/>
      <c r="N17" s="12"/>
      <c r="O17" s="12"/>
      <c r="P17" s="12"/>
      <c r="Q17" s="12"/>
      <c r="R17" s="12"/>
      <c r="S17" s="12"/>
      <c r="U17" s="12"/>
      <c r="V17" s="12"/>
      <c r="W17" s="12"/>
      <c r="X17" s="12"/>
      <c r="Y17" s="12"/>
      <c r="AR17" s="72"/>
      <c r="AS17" s="72"/>
    </row>
    <row r="18" spans="3:89">
      <c r="C18" s="12"/>
      <c r="D18" s="12"/>
      <c r="E18" s="12"/>
      <c r="M18" s="12"/>
      <c r="N18" s="12"/>
      <c r="O18" s="12"/>
      <c r="P18" s="12"/>
      <c r="Q18" s="12"/>
      <c r="R18" s="12"/>
      <c r="S18" s="12"/>
      <c r="U18" s="12"/>
      <c r="V18" s="12"/>
      <c r="W18" s="12"/>
      <c r="X18" s="12"/>
      <c r="Y18" s="12"/>
      <c r="AR18" s="72"/>
      <c r="AS18" s="72"/>
      <c r="AY18" s="76"/>
      <c r="AZ18" s="76"/>
      <c r="BA18" s="76"/>
      <c r="BB18" s="76"/>
      <c r="BC18" s="76"/>
      <c r="BK18" s="72"/>
    </row>
    <row r="19" spans="3:89">
      <c r="C19" s="12"/>
      <c r="D19" s="12"/>
      <c r="E19" s="12"/>
      <c r="M19" s="12"/>
      <c r="N19" s="12"/>
      <c r="O19" s="12"/>
      <c r="P19" s="12"/>
      <c r="Q19" s="12"/>
      <c r="R19" s="12"/>
      <c r="S19" s="12"/>
      <c r="U19" s="12"/>
      <c r="V19" s="12"/>
      <c r="W19" s="12"/>
      <c r="X19" s="12"/>
      <c r="Y19" s="12"/>
      <c r="AR19" s="72"/>
      <c r="AS19" s="72"/>
      <c r="AY19" s="76"/>
      <c r="AZ19" s="76"/>
      <c r="BA19" s="76"/>
      <c r="BB19" s="76"/>
      <c r="BC19" s="76"/>
      <c r="BK19" s="72"/>
    </row>
    <row r="20" spans="3:89">
      <c r="C20" s="12"/>
      <c r="D20" s="12"/>
      <c r="E20" s="12"/>
      <c r="M20" s="12"/>
      <c r="N20" s="12"/>
      <c r="O20" s="12"/>
      <c r="P20" s="12"/>
      <c r="Q20" s="12"/>
      <c r="R20" s="12"/>
      <c r="S20" s="12"/>
      <c r="U20" s="12"/>
      <c r="V20" s="12"/>
      <c r="W20" s="12"/>
      <c r="X20" s="12"/>
      <c r="Y20" s="12"/>
      <c r="AR20" s="72"/>
      <c r="AS20" s="72"/>
      <c r="AY20" s="76"/>
      <c r="AZ20" s="76"/>
      <c r="BA20" s="76"/>
      <c r="BB20" s="76"/>
      <c r="BC20" s="76"/>
      <c r="BK20" s="72"/>
    </row>
    <row r="21" spans="3:89">
      <c r="C21" s="12"/>
      <c r="D21" s="12"/>
      <c r="E21" s="12"/>
      <c r="M21" s="12"/>
      <c r="N21" s="12"/>
      <c r="O21" s="12"/>
      <c r="P21" s="12"/>
      <c r="Q21" s="12"/>
      <c r="R21" s="12"/>
      <c r="S21" s="12"/>
      <c r="U21" s="12"/>
      <c r="V21" s="12"/>
      <c r="W21" s="12"/>
      <c r="X21" s="12"/>
      <c r="Y21" s="12"/>
      <c r="AR21" s="72"/>
      <c r="AS21" s="72"/>
      <c r="AY21" s="76"/>
      <c r="AZ21" s="76"/>
      <c r="BA21" s="76"/>
      <c r="BB21" s="76"/>
      <c r="BC21" s="76"/>
      <c r="BK21" s="72"/>
      <c r="CK21" s="235"/>
    </row>
    <row r="22" spans="3:89">
      <c r="C22" s="12"/>
      <c r="D22" s="12"/>
      <c r="E22" s="12"/>
      <c r="M22" s="12"/>
      <c r="N22" s="12"/>
      <c r="O22" s="12"/>
      <c r="P22" s="12"/>
      <c r="Q22" s="12"/>
      <c r="R22" s="12"/>
      <c r="S22" s="12"/>
      <c r="U22" s="12"/>
      <c r="V22" s="12"/>
      <c r="W22" s="12"/>
      <c r="X22" s="12"/>
      <c r="Y22" s="12"/>
      <c r="AR22" s="72"/>
      <c r="AS22" s="72"/>
      <c r="AY22" s="76"/>
      <c r="AZ22" s="76"/>
      <c r="BA22" s="76"/>
      <c r="BB22" s="76"/>
      <c r="BC22" s="76"/>
      <c r="BK22" s="72"/>
    </row>
    <row r="23" spans="3:89">
      <c r="C23" s="12"/>
      <c r="D23" s="12"/>
      <c r="E23" s="12"/>
      <c r="M23" s="12"/>
      <c r="N23" s="12"/>
      <c r="O23" s="12"/>
      <c r="P23" s="12"/>
      <c r="Q23" s="12"/>
      <c r="R23" s="12"/>
      <c r="S23" s="12"/>
      <c r="U23" s="12"/>
      <c r="V23" s="12"/>
      <c r="W23" s="12"/>
      <c r="X23" s="12"/>
      <c r="Y23" s="12"/>
      <c r="AR23" s="72"/>
      <c r="AS23" s="72"/>
      <c r="AY23" s="76"/>
      <c r="AZ23" s="76"/>
      <c r="BA23" s="76"/>
      <c r="BB23" s="76"/>
      <c r="BC23" s="76"/>
      <c r="BK23" s="72"/>
    </row>
    <row r="24" spans="3:89">
      <c r="C24" s="12"/>
      <c r="D24" s="12"/>
      <c r="E24" s="12"/>
      <c r="M24" s="12"/>
      <c r="N24" s="12"/>
      <c r="O24" s="12"/>
      <c r="P24" s="12"/>
      <c r="Q24" s="12"/>
      <c r="R24" s="12"/>
      <c r="S24" s="12"/>
      <c r="U24" s="12"/>
      <c r="V24" s="12"/>
      <c r="W24" s="12"/>
      <c r="X24" s="12"/>
      <c r="Y24" s="12"/>
      <c r="AR24" s="72"/>
      <c r="AS24" s="72"/>
      <c r="AY24" s="76"/>
      <c r="AZ24" s="76"/>
      <c r="BA24" s="76"/>
      <c r="BB24" s="76"/>
      <c r="BC24" s="76"/>
      <c r="BK24" s="72"/>
    </row>
    <row r="25" spans="3:89">
      <c r="C25" s="12"/>
      <c r="D25" s="12"/>
      <c r="E25" s="12"/>
      <c r="M25" s="12"/>
      <c r="N25" s="12"/>
      <c r="O25" s="12"/>
      <c r="P25" s="12"/>
      <c r="Q25" s="12"/>
      <c r="R25" s="12"/>
      <c r="S25" s="12"/>
      <c r="U25" s="12"/>
      <c r="V25" s="12"/>
      <c r="W25" s="12"/>
      <c r="X25" s="12"/>
      <c r="Y25" s="12"/>
      <c r="AR25" s="72"/>
      <c r="AS25" s="72"/>
      <c r="AY25" s="76"/>
      <c r="AZ25" s="76"/>
      <c r="BA25" s="76"/>
      <c r="BB25" s="76"/>
      <c r="BC25" s="76"/>
      <c r="BK25" s="72"/>
    </row>
    <row r="26" spans="3:89">
      <c r="C26" s="12"/>
      <c r="D26" s="12"/>
      <c r="E26" s="12"/>
      <c r="M26" s="12"/>
      <c r="N26" s="12"/>
      <c r="O26" s="12"/>
      <c r="P26" s="12"/>
      <c r="Q26" s="12"/>
      <c r="R26" s="12"/>
      <c r="S26" s="12"/>
      <c r="U26" s="12"/>
      <c r="V26" s="12"/>
      <c r="W26" s="12"/>
      <c r="X26" s="12"/>
      <c r="Y26" s="12"/>
      <c r="AR26" s="72"/>
      <c r="AS26" s="72"/>
      <c r="AY26" s="76"/>
      <c r="AZ26" s="76"/>
      <c r="BA26" s="76"/>
      <c r="BB26" s="76"/>
      <c r="BC26" s="76"/>
      <c r="BK26" s="72"/>
    </row>
    <row r="27" spans="3:89">
      <c r="C27" s="12"/>
      <c r="D27" s="12"/>
      <c r="E27" s="12"/>
      <c r="M27" s="12"/>
      <c r="N27" s="12"/>
      <c r="O27" s="12"/>
      <c r="P27" s="12"/>
      <c r="Q27" s="12"/>
      <c r="R27" s="12"/>
      <c r="S27" s="12"/>
      <c r="U27" s="12"/>
      <c r="V27" s="12"/>
      <c r="W27" s="12"/>
      <c r="X27" s="12"/>
      <c r="Y27" s="12"/>
      <c r="AR27" s="72"/>
      <c r="AS27" s="72"/>
      <c r="AY27" s="76"/>
      <c r="AZ27" s="76"/>
      <c r="BA27" s="76"/>
      <c r="BB27" s="76"/>
      <c r="BC27" s="76"/>
      <c r="BK27" s="72"/>
    </row>
    <row r="28" spans="3:89">
      <c r="C28" s="12"/>
      <c r="D28" s="12"/>
      <c r="E28" s="12"/>
      <c r="M28" s="12"/>
      <c r="N28" s="12"/>
      <c r="O28" s="12"/>
      <c r="P28" s="12"/>
      <c r="Q28" s="12"/>
      <c r="R28" s="12"/>
      <c r="S28" s="12"/>
      <c r="U28" s="12"/>
      <c r="V28" s="12"/>
      <c r="W28" s="12"/>
      <c r="X28" s="12"/>
      <c r="Y28" s="12"/>
      <c r="AR28" s="72"/>
      <c r="AS28" s="72"/>
      <c r="AY28" s="76"/>
      <c r="AZ28" s="76"/>
      <c r="BA28" s="76"/>
      <c r="BB28" s="76"/>
      <c r="BC28" s="76"/>
      <c r="BK28" s="72"/>
    </row>
    <row r="29" spans="3:89">
      <c r="C29" s="12"/>
      <c r="D29" s="12"/>
      <c r="E29" s="12"/>
      <c r="M29" s="12"/>
      <c r="N29" s="12"/>
      <c r="O29" s="12"/>
      <c r="P29" s="12"/>
      <c r="Q29" s="12"/>
      <c r="R29" s="12"/>
      <c r="S29" s="12"/>
      <c r="U29" s="12"/>
      <c r="V29" s="12"/>
      <c r="W29" s="12"/>
      <c r="X29" s="12"/>
      <c r="Y29" s="12"/>
      <c r="AR29" s="72"/>
      <c r="AS29" s="72"/>
      <c r="AY29" s="76"/>
      <c r="AZ29" s="76"/>
      <c r="BA29" s="76"/>
      <c r="BB29" s="76"/>
      <c r="BC29" s="76"/>
      <c r="BK29" s="72"/>
    </row>
    <row r="30" spans="3:89">
      <c r="C30" s="12"/>
      <c r="D30" s="12"/>
      <c r="E30" s="12"/>
      <c r="M30" s="12"/>
      <c r="N30" s="12"/>
      <c r="O30" s="12"/>
      <c r="P30" s="12"/>
      <c r="Q30" s="12"/>
      <c r="R30" s="12"/>
      <c r="S30" s="12"/>
      <c r="U30" s="12"/>
      <c r="V30" s="12"/>
      <c r="W30" s="12"/>
      <c r="X30" s="12"/>
      <c r="Y30" s="12"/>
      <c r="AA30" s="21"/>
      <c r="AB30" s="21"/>
      <c r="AC30" s="9"/>
      <c r="AD30" s="72"/>
      <c r="AE30" s="72"/>
      <c r="AF30" s="72"/>
      <c r="AG30" s="72"/>
      <c r="AI30" s="21"/>
      <c r="AJ30" s="72"/>
      <c r="AK30" s="72"/>
      <c r="AL30" s="72"/>
      <c r="AM30" s="72"/>
      <c r="AN30" s="21"/>
      <c r="AO30" s="72"/>
      <c r="AP30" s="77"/>
      <c r="AQ30" s="72"/>
      <c r="AR30" s="72"/>
      <c r="AS30" s="72"/>
      <c r="AW30" s="151"/>
      <c r="AY30" s="76"/>
      <c r="AZ30" s="76"/>
      <c r="BA30" s="76"/>
      <c r="BB30" s="76"/>
      <c r="BC30" s="76"/>
      <c r="BK30" s="72"/>
    </row>
    <row r="31" spans="3:89">
      <c r="C31" s="12"/>
      <c r="D31" s="12"/>
      <c r="E31" s="12"/>
      <c r="M31" s="12"/>
      <c r="N31" s="12"/>
      <c r="O31" s="12"/>
      <c r="P31" s="12"/>
      <c r="Q31" s="12"/>
      <c r="R31" s="12"/>
      <c r="S31" s="12"/>
      <c r="U31" s="12"/>
      <c r="V31" s="12"/>
      <c r="W31" s="12"/>
      <c r="X31" s="12"/>
      <c r="Y31" s="12"/>
      <c r="AA31" s="21"/>
      <c r="AB31" s="21"/>
      <c r="AC31" s="9"/>
      <c r="AD31" s="72"/>
      <c r="AE31" s="72"/>
      <c r="AF31" s="72"/>
      <c r="AG31" s="72"/>
      <c r="AI31" s="21"/>
      <c r="AJ31" s="72"/>
      <c r="AK31" s="72"/>
      <c r="AL31" s="72"/>
      <c r="AM31" s="72"/>
      <c r="AN31" s="21"/>
      <c r="AO31" s="72"/>
      <c r="AP31" s="77"/>
      <c r="AQ31" s="72"/>
      <c r="AR31" s="72"/>
      <c r="AS31" s="72"/>
      <c r="AW31" s="151"/>
      <c r="AY31" s="76"/>
      <c r="AZ31" s="76"/>
      <c r="BA31" s="76"/>
      <c r="BB31" s="76"/>
      <c r="BC31" s="76"/>
      <c r="BK31" s="72"/>
    </row>
    <row r="32" spans="3:89">
      <c r="C32" s="12"/>
      <c r="D32" s="12"/>
      <c r="E32" s="12"/>
      <c r="M32" s="12"/>
      <c r="N32" s="12"/>
      <c r="O32" s="12"/>
      <c r="P32" s="12"/>
      <c r="Q32" s="12"/>
      <c r="R32" s="12"/>
      <c r="S32" s="12"/>
      <c r="U32" s="12"/>
      <c r="V32" s="12"/>
      <c r="W32" s="12"/>
      <c r="X32" s="12"/>
      <c r="Y32" s="12"/>
      <c r="AA32" s="21"/>
      <c r="AB32" s="21"/>
      <c r="AC32" s="9"/>
      <c r="AD32" s="72"/>
      <c r="AE32" s="72"/>
      <c r="AF32" s="72"/>
      <c r="AG32" s="72"/>
      <c r="AI32" s="21"/>
      <c r="AJ32" s="72"/>
      <c r="AK32" s="72"/>
      <c r="AL32" s="72"/>
      <c r="AM32" s="72"/>
      <c r="AN32" s="21"/>
      <c r="AO32" s="72"/>
      <c r="AP32" s="77"/>
      <c r="AQ32" s="72"/>
      <c r="AR32" s="72"/>
      <c r="AS32" s="72"/>
      <c r="AW32" s="151"/>
      <c r="AY32" s="76"/>
      <c r="AZ32" s="76"/>
      <c r="BA32" s="76"/>
      <c r="BB32" s="76"/>
      <c r="BC32" s="76"/>
      <c r="BK32" s="72"/>
    </row>
    <row r="33" spans="3:63">
      <c r="C33" s="12"/>
      <c r="D33" s="12"/>
      <c r="E33" s="12"/>
      <c r="M33" s="12"/>
      <c r="N33" s="12"/>
      <c r="O33" s="12"/>
      <c r="P33" s="12"/>
      <c r="Q33" s="12"/>
      <c r="R33" s="12"/>
      <c r="S33" s="12"/>
      <c r="U33" s="12"/>
      <c r="V33" s="12"/>
      <c r="W33" s="12"/>
      <c r="X33" s="12"/>
      <c r="Y33" s="12"/>
      <c r="AA33" s="21"/>
      <c r="AB33" s="21"/>
      <c r="AC33" s="9"/>
      <c r="AD33" s="72"/>
      <c r="AE33" s="72"/>
      <c r="AF33" s="72"/>
      <c r="AG33" s="72"/>
      <c r="AI33" s="21"/>
      <c r="AJ33" s="72"/>
      <c r="AK33" s="72"/>
      <c r="AL33" s="72"/>
      <c r="AM33" s="72"/>
      <c r="AN33" s="21"/>
      <c r="AO33" s="72"/>
      <c r="AP33" s="77"/>
      <c r="AQ33" s="72"/>
      <c r="AR33" s="72"/>
      <c r="AS33" s="72"/>
      <c r="AW33" s="151"/>
      <c r="AY33" s="76"/>
      <c r="AZ33" s="76"/>
      <c r="BA33" s="76"/>
      <c r="BB33" s="76"/>
      <c r="BC33" s="76"/>
      <c r="BK33" s="72"/>
    </row>
    <row r="34" spans="3:63">
      <c r="C34" s="12"/>
      <c r="D34" s="12"/>
      <c r="E34" s="12"/>
      <c r="M34" s="12"/>
      <c r="N34" s="12"/>
      <c r="O34" s="12"/>
      <c r="P34" s="12"/>
      <c r="Q34" s="12"/>
      <c r="R34" s="12"/>
      <c r="S34" s="12"/>
      <c r="U34" s="12"/>
      <c r="V34" s="12"/>
      <c r="W34" s="12"/>
      <c r="X34" s="12"/>
      <c r="Y34" s="12"/>
      <c r="AA34" s="21"/>
      <c r="AB34" s="21"/>
      <c r="AC34" s="9"/>
      <c r="AD34" s="72"/>
      <c r="AE34" s="72"/>
      <c r="AF34" s="72"/>
      <c r="AG34" s="72"/>
      <c r="AI34" s="21"/>
      <c r="AJ34" s="72"/>
      <c r="AK34" s="72"/>
      <c r="AL34" s="72"/>
      <c r="AM34" s="72"/>
      <c r="AN34" s="21"/>
      <c r="AO34" s="72"/>
      <c r="AP34" s="77"/>
      <c r="AQ34" s="72"/>
      <c r="AR34" s="72"/>
      <c r="AS34" s="72"/>
      <c r="AW34" s="151"/>
      <c r="AY34" s="76"/>
      <c r="AZ34" s="76"/>
      <c r="BA34" s="76"/>
      <c r="BB34" s="76"/>
      <c r="BC34" s="76"/>
      <c r="BK34" s="72"/>
    </row>
    <row r="35" spans="3:63">
      <c r="C35" s="12"/>
      <c r="D35" s="12"/>
      <c r="E35" s="12"/>
      <c r="M35" s="12"/>
      <c r="N35" s="12"/>
      <c r="O35" s="12"/>
      <c r="P35" s="12"/>
      <c r="Q35" s="12"/>
      <c r="R35" s="12"/>
      <c r="S35" s="12"/>
      <c r="U35" s="12"/>
      <c r="V35" s="12"/>
      <c r="W35" s="12"/>
      <c r="X35" s="12"/>
      <c r="Y35" s="12"/>
      <c r="AA35" s="21"/>
      <c r="AB35" s="21"/>
      <c r="AC35" s="9"/>
      <c r="AD35" s="72"/>
      <c r="AE35" s="72"/>
      <c r="AF35" s="72"/>
      <c r="AG35" s="72"/>
      <c r="AI35" s="21"/>
      <c r="AJ35" s="72"/>
      <c r="AK35" s="72"/>
      <c r="AL35" s="72"/>
      <c r="AM35" s="72"/>
      <c r="AN35" s="21"/>
      <c r="AO35" s="72"/>
      <c r="AP35" s="77"/>
      <c r="AQ35" s="72"/>
      <c r="AR35" s="72"/>
      <c r="AS35" s="72"/>
      <c r="AW35" s="151"/>
      <c r="AY35" s="76"/>
      <c r="AZ35" s="76"/>
      <c r="BA35" s="76"/>
      <c r="BB35" s="76"/>
      <c r="BC35" s="76"/>
      <c r="BK35" s="72"/>
    </row>
    <row r="36" spans="3:63">
      <c r="C36" s="12"/>
      <c r="D36" s="12"/>
      <c r="E36" s="12"/>
      <c r="M36" s="12"/>
      <c r="N36" s="12"/>
      <c r="O36" s="12"/>
      <c r="P36" s="12"/>
      <c r="Q36" s="12"/>
      <c r="R36" s="12"/>
      <c r="S36" s="12"/>
      <c r="U36" s="12"/>
      <c r="V36" s="12"/>
      <c r="W36" s="12"/>
      <c r="X36" s="12"/>
      <c r="Y36" s="12"/>
      <c r="AA36" s="21"/>
      <c r="AB36" s="21"/>
      <c r="AC36" s="9"/>
      <c r="AD36" s="72"/>
      <c r="AE36" s="72"/>
      <c r="AF36" s="72"/>
      <c r="AG36" s="72"/>
      <c r="AI36" s="21"/>
      <c r="AJ36" s="72"/>
      <c r="AK36" s="72"/>
      <c r="AL36" s="72"/>
      <c r="AM36" s="72"/>
      <c r="AN36" s="21"/>
      <c r="AO36" s="72"/>
      <c r="AP36" s="77"/>
      <c r="AQ36" s="72"/>
      <c r="AR36" s="72"/>
      <c r="AS36" s="72"/>
      <c r="AW36" s="151"/>
      <c r="AY36" s="76"/>
      <c r="AZ36" s="76"/>
      <c r="BA36" s="76"/>
      <c r="BB36" s="76"/>
      <c r="BC36" s="76"/>
      <c r="BK36" s="72"/>
    </row>
    <row r="37" spans="3:63">
      <c r="C37" s="12"/>
      <c r="D37" s="12"/>
      <c r="E37" s="12"/>
      <c r="M37" s="12"/>
      <c r="N37" s="12"/>
      <c r="O37" s="12"/>
      <c r="P37" s="12"/>
      <c r="Q37" s="12"/>
      <c r="R37" s="12"/>
      <c r="S37" s="12"/>
      <c r="U37" s="12"/>
      <c r="V37" s="12"/>
      <c r="W37" s="12"/>
      <c r="X37" s="12"/>
      <c r="Y37" s="12"/>
      <c r="AA37" s="21"/>
      <c r="AB37" s="21"/>
      <c r="AC37" s="9"/>
      <c r="AD37" s="72"/>
      <c r="AE37" s="72"/>
      <c r="AF37" s="72"/>
      <c r="AG37" s="72"/>
      <c r="AI37" s="21"/>
      <c r="AJ37" s="72"/>
      <c r="AK37" s="72"/>
      <c r="AL37" s="72"/>
      <c r="AM37" s="72"/>
      <c r="AN37" s="21"/>
      <c r="AO37" s="72"/>
      <c r="AP37" s="77"/>
      <c r="AQ37" s="72"/>
      <c r="AR37" s="72"/>
      <c r="AS37" s="72"/>
      <c r="AW37" s="151"/>
      <c r="AY37" s="76"/>
      <c r="AZ37" s="76"/>
      <c r="BA37" s="76"/>
      <c r="BB37" s="76"/>
      <c r="BC37" s="76"/>
      <c r="BK37" s="72"/>
    </row>
    <row r="38" spans="3:63">
      <c r="C38" s="12"/>
      <c r="D38" s="12"/>
      <c r="E38" s="12"/>
      <c r="M38" s="12"/>
      <c r="N38" s="12"/>
      <c r="O38" s="12"/>
      <c r="P38" s="12"/>
      <c r="Q38" s="12"/>
      <c r="R38" s="12"/>
      <c r="S38" s="12"/>
      <c r="U38" s="12"/>
      <c r="V38" s="12"/>
      <c r="W38" s="12"/>
      <c r="X38" s="12"/>
      <c r="Y38" s="12"/>
      <c r="AA38" s="21"/>
      <c r="AB38" s="21"/>
      <c r="AC38" s="9"/>
      <c r="AD38" s="72"/>
      <c r="AE38" s="72"/>
      <c r="AF38" s="72"/>
      <c r="AG38" s="72"/>
      <c r="AI38" s="21"/>
      <c r="AJ38" s="72"/>
      <c r="AK38" s="72"/>
      <c r="AL38" s="72"/>
      <c r="AM38" s="72"/>
      <c r="AN38" s="21"/>
      <c r="AO38" s="72"/>
      <c r="AP38" s="77"/>
      <c r="AQ38" s="72"/>
      <c r="AR38" s="72"/>
      <c r="AS38" s="72"/>
      <c r="AW38" s="151"/>
      <c r="AY38" s="76"/>
      <c r="AZ38" s="76"/>
      <c r="BA38" s="76"/>
      <c r="BB38" s="76"/>
      <c r="BC38" s="76"/>
      <c r="BK38" s="72"/>
    </row>
    <row r="39" spans="3:63">
      <c r="C39" s="12"/>
      <c r="D39" s="12"/>
      <c r="E39" s="12"/>
      <c r="M39" s="12"/>
      <c r="N39" s="12"/>
      <c r="O39" s="12"/>
      <c r="P39" s="12"/>
      <c r="Q39" s="12"/>
      <c r="R39" s="12"/>
      <c r="S39" s="12"/>
      <c r="U39" s="12"/>
      <c r="V39" s="12"/>
      <c r="W39" s="12"/>
      <c r="X39" s="12"/>
      <c r="Y39" s="12"/>
      <c r="AA39" s="21"/>
      <c r="AB39" s="21"/>
      <c r="AC39" s="9"/>
      <c r="AD39" s="72"/>
      <c r="AE39" s="72"/>
      <c r="AF39" s="72"/>
      <c r="AG39" s="72"/>
      <c r="AI39" s="21"/>
      <c r="AJ39" s="72"/>
      <c r="AK39" s="72"/>
      <c r="AL39" s="72"/>
      <c r="AM39" s="72"/>
      <c r="AN39" s="21"/>
      <c r="AO39" s="72"/>
      <c r="AP39" s="77"/>
      <c r="AQ39" s="72"/>
      <c r="AR39" s="72"/>
      <c r="AS39" s="72"/>
      <c r="AW39" s="151"/>
      <c r="AY39" s="76"/>
      <c r="AZ39" s="76"/>
      <c r="BA39" s="76"/>
      <c r="BB39" s="76"/>
      <c r="BC39" s="76"/>
      <c r="BK39" s="72"/>
    </row>
    <row r="40" spans="3:63">
      <c r="C40" s="12"/>
      <c r="D40" s="12"/>
      <c r="E40" s="12"/>
      <c r="M40" s="12"/>
      <c r="N40" s="12"/>
      <c r="O40" s="12"/>
      <c r="P40" s="12"/>
      <c r="Q40" s="12"/>
      <c r="R40" s="12"/>
      <c r="S40" s="12"/>
      <c r="U40" s="12"/>
      <c r="V40" s="12"/>
      <c r="W40" s="12"/>
      <c r="X40" s="12"/>
      <c r="Y40" s="12"/>
      <c r="AA40" s="21"/>
      <c r="AB40" s="21"/>
      <c r="AC40" s="9"/>
      <c r="AD40" s="72"/>
      <c r="AE40" s="72"/>
      <c r="AF40" s="72"/>
      <c r="AG40" s="72"/>
      <c r="AI40" s="21"/>
      <c r="AJ40" s="72"/>
      <c r="AK40" s="72"/>
      <c r="AL40" s="72"/>
      <c r="AM40" s="72"/>
      <c r="AN40" s="21"/>
      <c r="AO40" s="72"/>
      <c r="AP40" s="77"/>
      <c r="AQ40" s="72"/>
      <c r="AR40" s="72"/>
      <c r="AS40" s="72"/>
      <c r="AW40" s="151"/>
      <c r="AY40" s="76"/>
      <c r="AZ40" s="76"/>
      <c r="BA40" s="76"/>
      <c r="BB40" s="76"/>
      <c r="BC40" s="76"/>
      <c r="BK40" s="72"/>
    </row>
    <row r="41" spans="3:63">
      <c r="C41" s="12"/>
      <c r="D41" s="12"/>
      <c r="E41" s="12"/>
      <c r="M41" s="12"/>
      <c r="N41" s="12"/>
      <c r="O41" s="12"/>
      <c r="P41" s="12"/>
      <c r="Q41" s="12"/>
      <c r="R41" s="12"/>
      <c r="S41" s="12"/>
      <c r="U41" s="12"/>
      <c r="V41" s="12"/>
      <c r="W41" s="12"/>
      <c r="X41" s="12"/>
      <c r="Y41" s="12"/>
      <c r="AA41" s="21"/>
      <c r="AB41" s="21"/>
      <c r="AC41" s="9"/>
      <c r="AD41" s="72"/>
      <c r="AE41" s="72"/>
      <c r="AF41" s="72"/>
      <c r="AG41" s="72"/>
      <c r="AI41" s="21"/>
      <c r="AJ41" s="72"/>
      <c r="AK41" s="72"/>
      <c r="AL41" s="72"/>
      <c r="AM41" s="72"/>
      <c r="AN41" s="21"/>
      <c r="AO41" s="72"/>
      <c r="AP41" s="77"/>
      <c r="AQ41" s="72"/>
      <c r="AR41" s="72"/>
      <c r="AS41" s="72"/>
      <c r="AW41" s="151"/>
      <c r="AY41" s="76"/>
      <c r="AZ41" s="76"/>
      <c r="BA41" s="76"/>
      <c r="BB41" s="76"/>
      <c r="BC41" s="76"/>
      <c r="BK41" s="72"/>
    </row>
    <row r="42" spans="3:63">
      <c r="C42" s="12"/>
      <c r="D42" s="12"/>
      <c r="E42" s="12"/>
      <c r="M42" s="12"/>
      <c r="N42" s="12"/>
      <c r="O42" s="12"/>
      <c r="P42" s="12"/>
      <c r="Q42" s="12"/>
      <c r="R42" s="12"/>
      <c r="S42" s="12"/>
      <c r="U42" s="12"/>
      <c r="V42" s="12"/>
      <c r="W42" s="12"/>
      <c r="X42" s="12"/>
      <c r="Y42" s="12"/>
      <c r="AA42" s="21"/>
      <c r="AB42" s="21"/>
      <c r="AC42" s="9"/>
      <c r="AD42" s="72"/>
      <c r="AE42" s="72"/>
      <c r="AF42" s="72"/>
      <c r="AG42" s="72"/>
      <c r="AI42" s="21"/>
      <c r="AJ42" s="72"/>
      <c r="AK42" s="72"/>
      <c r="AL42" s="72"/>
      <c r="AM42" s="72"/>
      <c r="AN42" s="21"/>
      <c r="AO42" s="72"/>
      <c r="AP42" s="77"/>
      <c r="AQ42" s="72"/>
      <c r="AR42" s="72"/>
      <c r="AS42" s="72"/>
      <c r="AW42" s="151"/>
      <c r="AY42" s="76"/>
      <c r="AZ42" s="76"/>
      <c r="BA42" s="76"/>
      <c r="BB42" s="76"/>
      <c r="BC42" s="76"/>
      <c r="BK42" s="72"/>
    </row>
    <row r="43" spans="3:63">
      <c r="C43" s="12"/>
      <c r="D43" s="12"/>
      <c r="E43" s="12"/>
      <c r="M43" s="12"/>
      <c r="N43" s="12"/>
      <c r="O43" s="12"/>
      <c r="P43" s="12"/>
      <c r="Q43" s="12"/>
      <c r="R43" s="12"/>
      <c r="S43" s="12"/>
      <c r="U43" s="12"/>
      <c r="V43" s="12"/>
      <c r="W43" s="12"/>
      <c r="X43" s="12"/>
      <c r="Y43" s="12"/>
      <c r="AA43" s="21"/>
      <c r="AB43" s="21"/>
      <c r="AC43" s="9"/>
      <c r="AD43" s="72"/>
      <c r="AE43" s="72"/>
      <c r="AF43" s="72"/>
      <c r="AG43" s="72"/>
      <c r="AI43" s="21"/>
      <c r="AJ43" s="72"/>
      <c r="AK43" s="72"/>
      <c r="AL43" s="72"/>
      <c r="AM43" s="72"/>
      <c r="AN43" s="21"/>
      <c r="AO43" s="72"/>
      <c r="AP43" s="77"/>
      <c r="AQ43" s="72"/>
      <c r="AR43" s="72"/>
      <c r="AS43" s="72"/>
      <c r="AW43" s="151"/>
      <c r="AY43" s="76"/>
      <c r="AZ43" s="76"/>
      <c r="BA43" s="76"/>
      <c r="BB43" s="76"/>
      <c r="BC43" s="76"/>
      <c r="BK43" s="72"/>
    </row>
    <row r="44" spans="3:63">
      <c r="C44" s="12"/>
      <c r="D44" s="12"/>
      <c r="E44" s="12"/>
      <c r="M44" s="12"/>
      <c r="N44" s="12"/>
      <c r="O44" s="12"/>
      <c r="P44" s="12"/>
      <c r="Q44" s="12"/>
      <c r="R44" s="12"/>
      <c r="S44" s="12"/>
      <c r="U44" s="12"/>
      <c r="V44" s="12"/>
      <c r="W44" s="12"/>
      <c r="X44" s="12"/>
      <c r="Y44" s="12"/>
      <c r="Z44" s="76"/>
      <c r="AA44" s="76"/>
      <c r="AB44" s="76"/>
      <c r="AC44" s="72"/>
      <c r="AD44" s="72"/>
      <c r="AE44" s="72"/>
      <c r="AF44" s="72"/>
      <c r="AG44" s="72"/>
      <c r="AH44" s="76"/>
      <c r="AI44" s="76"/>
      <c r="AJ44" s="72"/>
      <c r="AK44" s="72"/>
      <c r="AL44" s="72"/>
      <c r="AM44" s="72"/>
      <c r="AN44" s="76"/>
      <c r="AO44" s="72"/>
      <c r="AP44" s="77"/>
      <c r="AQ44" s="72"/>
      <c r="AR44" s="72"/>
      <c r="AS44" s="72"/>
      <c r="AW44" s="172"/>
      <c r="AY44" s="76"/>
      <c r="AZ44" s="76"/>
      <c r="BA44" s="76"/>
      <c r="BB44" s="76"/>
      <c r="BC44" s="76"/>
      <c r="BK44" s="72"/>
    </row>
    <row r="45" spans="3:63">
      <c r="C45" s="12"/>
      <c r="D45" s="12"/>
      <c r="E45" s="12"/>
      <c r="M45" s="12"/>
      <c r="N45" s="12"/>
      <c r="O45" s="12"/>
      <c r="P45" s="12"/>
      <c r="Q45" s="12"/>
      <c r="R45" s="12"/>
      <c r="S45" s="12"/>
      <c r="U45" s="12"/>
      <c r="V45" s="12"/>
      <c r="W45" s="12"/>
      <c r="X45" s="12"/>
      <c r="Y45" s="12"/>
      <c r="Z45" s="76"/>
      <c r="AA45" s="76"/>
      <c r="AB45" s="76"/>
      <c r="AC45" s="72"/>
      <c r="AD45" s="72"/>
      <c r="AE45" s="72"/>
      <c r="AF45" s="72"/>
      <c r="AG45" s="72"/>
      <c r="AH45" s="76"/>
      <c r="AI45" s="76"/>
      <c r="AJ45" s="72"/>
      <c r="AK45" s="72"/>
      <c r="AL45" s="72"/>
      <c r="AM45" s="72"/>
      <c r="AN45" s="76"/>
      <c r="AO45" s="72"/>
      <c r="AP45" s="77"/>
      <c r="AQ45" s="72"/>
      <c r="AR45" s="72"/>
      <c r="AS45" s="72"/>
      <c r="AW45" s="172"/>
      <c r="AY45" s="76"/>
      <c r="AZ45" s="76"/>
      <c r="BA45" s="76"/>
      <c r="BB45" s="76"/>
      <c r="BC45" s="76"/>
      <c r="BK45" s="72"/>
    </row>
    <row r="46" spans="3:63">
      <c r="M46" s="12"/>
      <c r="N46" s="12"/>
      <c r="O46" s="12"/>
      <c r="P46" s="12"/>
      <c r="Q46" s="12"/>
      <c r="R46" s="12"/>
      <c r="S46" s="12"/>
      <c r="U46" s="12"/>
      <c r="V46" s="12"/>
      <c r="W46" s="12"/>
      <c r="X46" s="12"/>
      <c r="Y46" s="12"/>
      <c r="Z46" s="76"/>
      <c r="AA46" s="76"/>
      <c r="AB46" s="76"/>
      <c r="AC46" s="72"/>
      <c r="AD46" s="72"/>
      <c r="AE46" s="72"/>
      <c r="AF46" s="72"/>
      <c r="AG46" s="72"/>
      <c r="AH46" s="76"/>
      <c r="AI46" s="76"/>
      <c r="AJ46" s="72"/>
      <c r="AK46" s="72"/>
      <c r="AL46" s="72"/>
      <c r="AM46" s="72"/>
      <c r="AN46" s="76"/>
      <c r="AO46" s="72"/>
      <c r="AP46" s="77"/>
      <c r="AQ46" s="72"/>
      <c r="AR46" s="72"/>
      <c r="AS46" s="72"/>
      <c r="AW46" s="172"/>
      <c r="AY46" s="76"/>
      <c r="AZ46" s="76"/>
      <c r="BA46" s="76"/>
      <c r="BB46" s="76"/>
      <c r="BC46" s="76"/>
      <c r="BK46" s="72"/>
    </row>
    <row r="47" spans="3:63">
      <c r="M47" s="12"/>
      <c r="N47" s="12"/>
      <c r="O47" s="12"/>
      <c r="P47" s="12"/>
      <c r="Q47" s="12"/>
      <c r="R47" s="12"/>
      <c r="S47" s="12"/>
      <c r="U47" s="12"/>
      <c r="V47" s="12"/>
      <c r="W47" s="12"/>
      <c r="X47" s="12"/>
      <c r="Y47" s="12"/>
      <c r="Z47" s="76"/>
      <c r="AA47" s="76"/>
      <c r="AB47" s="76"/>
      <c r="AC47" s="72"/>
      <c r="AD47" s="72"/>
      <c r="AE47" s="72"/>
      <c r="AF47" s="72"/>
      <c r="AG47" s="72"/>
      <c r="AH47" s="76"/>
      <c r="AI47" s="76"/>
      <c r="AJ47" s="72"/>
      <c r="AK47" s="72"/>
      <c r="AL47" s="72"/>
      <c r="AM47" s="72"/>
      <c r="AN47" s="76"/>
      <c r="AO47" s="72"/>
      <c r="AP47" s="77"/>
      <c r="AQ47" s="72"/>
      <c r="AR47" s="72"/>
      <c r="AS47" s="72"/>
      <c r="AW47" s="172"/>
      <c r="AY47" s="76"/>
      <c r="AZ47" s="76"/>
      <c r="BA47" s="76"/>
      <c r="BB47" s="76"/>
      <c r="BC47" s="76"/>
      <c r="BK47" s="72"/>
    </row>
    <row r="48" spans="3:63">
      <c r="M48" s="12"/>
      <c r="N48" s="12"/>
      <c r="O48" s="12"/>
      <c r="P48" s="12"/>
      <c r="Q48" s="12"/>
      <c r="R48" s="12"/>
      <c r="S48" s="12"/>
      <c r="U48" s="12"/>
      <c r="V48" s="12"/>
      <c r="W48" s="12"/>
      <c r="X48" s="12"/>
      <c r="Y48" s="12"/>
      <c r="Z48" s="76"/>
      <c r="AA48" s="76"/>
      <c r="AB48" s="76"/>
      <c r="AC48" s="72"/>
      <c r="AD48" s="72"/>
      <c r="AE48" s="72"/>
      <c r="AF48" s="72"/>
      <c r="AG48" s="72"/>
      <c r="AH48" s="76"/>
      <c r="AI48" s="76"/>
      <c r="AJ48" s="72"/>
      <c r="AK48" s="72"/>
      <c r="AL48" s="72"/>
      <c r="AM48" s="72"/>
      <c r="AN48" s="76"/>
      <c r="AO48" s="72"/>
      <c r="AP48" s="77"/>
      <c r="AQ48" s="72"/>
      <c r="AR48" s="72"/>
      <c r="AS48" s="72"/>
      <c r="AW48" s="172"/>
      <c r="AY48" s="76"/>
      <c r="AZ48" s="76"/>
      <c r="BA48" s="76"/>
      <c r="BB48" s="76"/>
      <c r="BC48" s="76"/>
      <c r="BK48" s="72"/>
    </row>
    <row r="49" spans="13:63">
      <c r="M49" s="12"/>
      <c r="N49" s="12"/>
      <c r="O49" s="12"/>
      <c r="P49" s="12"/>
      <c r="Q49" s="12"/>
      <c r="R49" s="12"/>
      <c r="S49" s="12"/>
      <c r="U49" s="12"/>
      <c r="V49" s="12"/>
      <c r="W49" s="12"/>
      <c r="X49" s="12"/>
      <c r="Y49" s="12"/>
      <c r="Z49" s="76"/>
      <c r="AA49" s="76"/>
      <c r="AB49" s="76"/>
      <c r="AC49" s="72"/>
      <c r="AD49" s="72"/>
      <c r="AE49" s="72"/>
      <c r="AF49" s="72"/>
      <c r="AG49" s="72"/>
      <c r="AH49" s="76"/>
      <c r="AI49" s="76"/>
      <c r="AJ49" s="72"/>
      <c r="AK49" s="72"/>
      <c r="AL49" s="72"/>
      <c r="AM49" s="72"/>
      <c r="AN49" s="76"/>
      <c r="AO49" s="72"/>
      <c r="AP49" s="77"/>
      <c r="AQ49" s="72"/>
      <c r="AR49" s="72"/>
      <c r="AS49" s="72"/>
      <c r="AW49" s="172"/>
      <c r="AY49" s="76"/>
      <c r="AZ49" s="76"/>
      <c r="BA49" s="76"/>
      <c r="BB49" s="76"/>
      <c r="BC49" s="76"/>
      <c r="BK49" s="72"/>
    </row>
    <row r="50" spans="13:63">
      <c r="M50" s="12"/>
      <c r="N50" s="12"/>
      <c r="O50" s="12"/>
      <c r="P50" s="12"/>
      <c r="Q50" s="12"/>
      <c r="R50" s="12"/>
      <c r="S50" s="12"/>
      <c r="U50" s="12"/>
      <c r="V50" s="12"/>
      <c r="W50" s="12"/>
      <c r="X50" s="12"/>
      <c r="Y50" s="12"/>
      <c r="Z50" s="76"/>
      <c r="AA50" s="76"/>
      <c r="AB50" s="76"/>
      <c r="AC50" s="72"/>
      <c r="AD50" s="72"/>
      <c r="AE50" s="72"/>
      <c r="AF50" s="72"/>
      <c r="AG50" s="72"/>
      <c r="AH50" s="76"/>
      <c r="AI50" s="76"/>
      <c r="AJ50" s="72"/>
      <c r="AK50" s="72"/>
      <c r="AL50" s="72"/>
      <c r="AM50" s="72"/>
      <c r="AN50" s="76"/>
      <c r="AO50" s="72"/>
      <c r="AP50" s="77"/>
      <c r="AQ50" s="72"/>
      <c r="AR50" s="72"/>
      <c r="AS50" s="72"/>
      <c r="AW50" s="172"/>
      <c r="AY50" s="76"/>
      <c r="AZ50" s="76"/>
      <c r="BA50" s="76"/>
      <c r="BB50" s="76"/>
      <c r="BC50" s="76"/>
      <c r="BK50" s="72"/>
    </row>
    <row r="51" spans="13:63">
      <c r="M51" s="12"/>
      <c r="N51" s="12"/>
      <c r="O51" s="12"/>
      <c r="P51" s="12"/>
      <c r="Q51" s="12"/>
      <c r="R51" s="12"/>
      <c r="S51" s="12"/>
      <c r="U51" s="12"/>
      <c r="V51" s="12"/>
      <c r="W51" s="12"/>
      <c r="X51" s="12"/>
      <c r="Y51" s="12"/>
      <c r="Z51" s="76"/>
      <c r="AA51" s="76"/>
      <c r="AB51" s="76"/>
      <c r="AC51" s="72"/>
      <c r="AD51" s="72"/>
      <c r="AE51" s="72"/>
      <c r="AF51" s="72"/>
      <c r="AG51" s="72"/>
      <c r="AH51" s="76"/>
      <c r="AI51" s="76"/>
      <c r="AJ51" s="72"/>
      <c r="AK51" s="72"/>
      <c r="AL51" s="72"/>
      <c r="AM51" s="72"/>
      <c r="AN51" s="76"/>
      <c r="AO51" s="72"/>
      <c r="AP51" s="77"/>
      <c r="AQ51" s="72"/>
      <c r="AR51" s="72"/>
      <c r="AS51" s="72"/>
      <c r="AW51" s="172"/>
      <c r="AY51" s="76"/>
      <c r="AZ51" s="76"/>
      <c r="BA51" s="76"/>
      <c r="BB51" s="76"/>
      <c r="BC51" s="76"/>
      <c r="BK51" s="72"/>
    </row>
    <row r="52" spans="13:63">
      <c r="M52" s="12"/>
      <c r="N52" s="12"/>
      <c r="O52" s="12"/>
      <c r="P52" s="12"/>
      <c r="Q52" s="12"/>
      <c r="R52" s="12"/>
      <c r="S52" s="12"/>
      <c r="U52" s="12"/>
      <c r="V52" s="12"/>
      <c r="W52" s="12"/>
      <c r="X52" s="12"/>
      <c r="Y52" s="12"/>
      <c r="Z52" s="76"/>
      <c r="AA52" s="76"/>
      <c r="AB52" s="76"/>
      <c r="AC52" s="72"/>
      <c r="AD52" s="72"/>
      <c r="AE52" s="72"/>
      <c r="AF52" s="72"/>
      <c r="AG52" s="72"/>
      <c r="AH52" s="76"/>
      <c r="AI52" s="76"/>
      <c r="AJ52" s="72"/>
      <c r="AK52" s="72"/>
      <c r="AL52" s="72"/>
      <c r="AM52" s="72"/>
      <c r="AN52" s="76"/>
      <c r="AO52" s="72"/>
      <c r="AP52" s="77"/>
      <c r="AQ52" s="72"/>
      <c r="AR52" s="72"/>
      <c r="AS52" s="72"/>
      <c r="AW52" s="172"/>
      <c r="AY52" s="76"/>
      <c r="AZ52" s="76"/>
      <c r="BA52" s="76"/>
      <c r="BB52" s="76"/>
      <c r="BC52" s="76"/>
      <c r="BK52" s="72"/>
    </row>
    <row r="53" spans="13:63">
      <c r="M53" s="12"/>
      <c r="N53" s="12"/>
      <c r="O53" s="12"/>
      <c r="P53" s="12"/>
      <c r="Q53" s="12"/>
      <c r="R53" s="12"/>
      <c r="S53" s="12"/>
      <c r="U53" s="12"/>
      <c r="V53" s="12"/>
      <c r="W53" s="12"/>
      <c r="X53" s="12"/>
      <c r="Y53" s="12"/>
      <c r="Z53" s="76"/>
      <c r="AA53" s="76"/>
      <c r="AB53" s="76"/>
      <c r="AC53" s="72"/>
      <c r="AD53" s="72"/>
      <c r="AE53" s="72"/>
      <c r="AF53" s="72"/>
      <c r="AG53" s="72"/>
      <c r="AH53" s="76"/>
      <c r="AI53" s="76"/>
      <c r="AJ53" s="72"/>
      <c r="AK53" s="72"/>
      <c r="AL53" s="72"/>
      <c r="AM53" s="72"/>
      <c r="AN53" s="76"/>
      <c r="AO53" s="72"/>
      <c r="AP53" s="77"/>
      <c r="AQ53" s="72"/>
      <c r="AR53" s="72"/>
      <c r="AS53" s="72"/>
      <c r="AW53" s="172"/>
      <c r="AY53" s="76"/>
      <c r="AZ53" s="76"/>
      <c r="BA53" s="76"/>
      <c r="BB53" s="76"/>
      <c r="BC53" s="76"/>
      <c r="BK53" s="72"/>
    </row>
    <row r="54" spans="13:63">
      <c r="M54" s="12"/>
      <c r="N54" s="12"/>
      <c r="O54" s="12"/>
      <c r="P54" s="12"/>
      <c r="Q54" s="12"/>
      <c r="R54" s="12"/>
      <c r="S54" s="12"/>
      <c r="U54" s="12"/>
      <c r="V54" s="12"/>
      <c r="W54" s="12"/>
      <c r="X54" s="12"/>
      <c r="Y54" s="12"/>
      <c r="Z54" s="76"/>
      <c r="AA54" s="76"/>
      <c r="AB54" s="76"/>
      <c r="AC54" s="72"/>
      <c r="AD54" s="72"/>
      <c r="AE54" s="72"/>
      <c r="AF54" s="72"/>
      <c r="AG54" s="72"/>
      <c r="AH54" s="76"/>
      <c r="AI54" s="76"/>
      <c r="AJ54" s="72"/>
      <c r="AK54" s="72"/>
      <c r="AL54" s="72"/>
      <c r="AM54" s="72"/>
      <c r="AN54" s="76"/>
      <c r="AO54" s="72"/>
      <c r="AP54" s="77"/>
      <c r="AQ54" s="72"/>
      <c r="AR54" s="72"/>
      <c r="AS54" s="72"/>
      <c r="AW54" s="172"/>
      <c r="AY54" s="76"/>
      <c r="AZ54" s="76"/>
      <c r="BA54" s="76"/>
      <c r="BB54" s="76"/>
      <c r="BC54" s="76"/>
      <c r="BK54" s="72"/>
    </row>
    <row r="55" spans="13:63">
      <c r="M55" s="12"/>
      <c r="N55" s="12"/>
      <c r="O55" s="12"/>
      <c r="P55" s="12"/>
      <c r="Q55" s="12"/>
      <c r="R55" s="12"/>
      <c r="S55" s="12"/>
      <c r="U55" s="12"/>
      <c r="V55" s="12"/>
      <c r="W55" s="12"/>
      <c r="X55" s="12"/>
      <c r="Y55" s="12"/>
      <c r="Z55" s="76"/>
      <c r="AA55" s="76"/>
      <c r="AB55" s="76"/>
      <c r="AC55" s="72"/>
      <c r="AD55" s="72"/>
      <c r="AE55" s="72"/>
      <c r="AF55" s="72"/>
      <c r="AG55" s="72"/>
      <c r="AH55" s="76"/>
      <c r="AI55" s="76"/>
      <c r="AJ55" s="72"/>
      <c r="AK55" s="72"/>
      <c r="AL55" s="72"/>
      <c r="AM55" s="72"/>
      <c r="AN55" s="76"/>
      <c r="AO55" s="72"/>
      <c r="AP55" s="77"/>
      <c r="AQ55" s="72"/>
      <c r="AR55" s="72"/>
      <c r="AS55" s="72"/>
      <c r="AW55" s="172"/>
      <c r="AY55" s="76"/>
      <c r="AZ55" s="76"/>
      <c r="BA55" s="76"/>
      <c r="BB55" s="76"/>
      <c r="BC55" s="76"/>
      <c r="BK55" s="72"/>
    </row>
    <row r="56" spans="13:63">
      <c r="M56" s="12"/>
      <c r="N56" s="12"/>
      <c r="O56" s="12"/>
      <c r="P56" s="12"/>
      <c r="Q56" s="12"/>
      <c r="R56" s="12"/>
      <c r="S56" s="12"/>
      <c r="U56" s="12"/>
      <c r="V56" s="12"/>
      <c r="W56" s="12"/>
      <c r="X56" s="12"/>
      <c r="Y56" s="12"/>
    </row>
    <row r="57" spans="13:63">
      <c r="M57" s="12"/>
      <c r="N57" s="12"/>
      <c r="O57" s="12"/>
      <c r="P57" s="12"/>
      <c r="Q57" s="12"/>
      <c r="R57" s="12"/>
      <c r="S57" s="12"/>
      <c r="U57" s="12"/>
      <c r="V57" s="12"/>
      <c r="W57" s="12"/>
      <c r="X57" s="12"/>
      <c r="Y57" s="12"/>
    </row>
    <row r="58" spans="13:63">
      <c r="M58" s="12"/>
      <c r="N58" s="12"/>
      <c r="O58" s="12"/>
      <c r="P58" s="12"/>
      <c r="Q58" s="12"/>
      <c r="R58" s="12"/>
      <c r="S58" s="12"/>
      <c r="U58" s="12"/>
      <c r="V58" s="12"/>
      <c r="W58" s="12"/>
      <c r="X58" s="12"/>
      <c r="Y58" s="12"/>
    </row>
    <row r="59" spans="13:63">
      <c r="M59" s="12"/>
      <c r="N59" s="12"/>
      <c r="O59" s="12"/>
      <c r="P59" s="12"/>
      <c r="Q59" s="12"/>
      <c r="R59" s="12"/>
      <c r="S59" s="12"/>
      <c r="U59" s="12"/>
      <c r="V59" s="12"/>
      <c r="W59" s="12"/>
      <c r="X59" s="12"/>
      <c r="Y59" s="12"/>
    </row>
    <row r="60" spans="13:63">
      <c r="M60" s="12"/>
      <c r="N60" s="12"/>
      <c r="O60" s="12"/>
      <c r="P60" s="12"/>
      <c r="Q60" s="12"/>
      <c r="R60" s="12"/>
      <c r="S60" s="12"/>
      <c r="U60" s="12"/>
      <c r="V60" s="12"/>
      <c r="W60" s="12"/>
      <c r="X60" s="12"/>
      <c r="Y60" s="12"/>
    </row>
    <row r="61" spans="13:63">
      <c r="M61" s="12"/>
      <c r="N61" s="12"/>
      <c r="O61" s="12"/>
      <c r="P61" s="12"/>
      <c r="Q61" s="12"/>
      <c r="R61" s="12"/>
      <c r="S61" s="12"/>
      <c r="U61" s="12"/>
      <c r="V61" s="12"/>
      <c r="W61" s="12"/>
      <c r="X61" s="12"/>
      <c r="Y61" s="12"/>
    </row>
    <row r="62" spans="13:63">
      <c r="M62" s="12"/>
      <c r="N62" s="12"/>
      <c r="O62" s="12"/>
      <c r="P62" s="12"/>
      <c r="Q62" s="12"/>
      <c r="R62" s="12"/>
      <c r="S62" s="12"/>
      <c r="U62" s="12"/>
      <c r="V62" s="12"/>
      <c r="W62" s="12"/>
      <c r="X62" s="12"/>
      <c r="Y62" s="12"/>
    </row>
    <row r="63" spans="13:63">
      <c r="M63" s="12"/>
      <c r="N63" s="12"/>
      <c r="O63" s="12"/>
      <c r="P63" s="12"/>
      <c r="Q63" s="12"/>
      <c r="R63" s="12"/>
      <c r="S63" s="12"/>
      <c r="U63" s="12"/>
      <c r="V63" s="12"/>
      <c r="W63" s="12"/>
      <c r="X63" s="12"/>
      <c r="Y63" s="12"/>
    </row>
    <row r="64" spans="13:63">
      <c r="M64" s="12"/>
      <c r="N64" s="12"/>
      <c r="O64" s="12"/>
      <c r="P64" s="12"/>
      <c r="Q64" s="12"/>
      <c r="R64" s="12"/>
      <c r="S64" s="12"/>
      <c r="U64" s="12"/>
      <c r="V64" s="12"/>
      <c r="W64" s="12"/>
      <c r="X64" s="12"/>
      <c r="Y64" s="12"/>
    </row>
    <row r="65" spans="13:25">
      <c r="M65" s="12"/>
      <c r="N65" s="12"/>
      <c r="O65" s="12"/>
      <c r="P65" s="12"/>
      <c r="Q65" s="12"/>
      <c r="R65" s="12"/>
      <c r="S65" s="12"/>
      <c r="U65" s="12"/>
      <c r="V65" s="12"/>
      <c r="W65" s="12"/>
      <c r="X65" s="12"/>
      <c r="Y65" s="12"/>
    </row>
    <row r="66" spans="13:25">
      <c r="M66" s="12"/>
      <c r="N66" s="12"/>
      <c r="O66" s="12"/>
      <c r="P66" s="12"/>
      <c r="Q66" s="12"/>
      <c r="R66" s="12"/>
      <c r="S66" s="12"/>
      <c r="U66" s="12"/>
      <c r="V66" s="12"/>
      <c r="W66" s="12"/>
      <c r="X66" s="12"/>
      <c r="Y66" s="12"/>
    </row>
    <row r="67" spans="13:25">
      <c r="M67" s="12"/>
      <c r="N67" s="12"/>
      <c r="O67" s="12"/>
      <c r="P67" s="12"/>
      <c r="Q67" s="12"/>
      <c r="R67" s="12"/>
      <c r="S67" s="12"/>
      <c r="U67" s="12"/>
      <c r="V67" s="12"/>
      <c r="W67" s="12"/>
      <c r="X67" s="12"/>
      <c r="Y67" s="12"/>
    </row>
    <row r="68" spans="13:25">
      <c r="M68" s="12"/>
      <c r="N68" s="12"/>
      <c r="O68" s="12"/>
      <c r="P68" s="12"/>
      <c r="Q68" s="12"/>
      <c r="R68" s="12"/>
      <c r="S68" s="12"/>
      <c r="U68" s="12"/>
      <c r="V68" s="12"/>
      <c r="W68" s="12"/>
      <c r="X68" s="12"/>
      <c r="Y68" s="12"/>
    </row>
    <row r="69" spans="13:25">
      <c r="M69" s="12"/>
      <c r="N69" s="12"/>
      <c r="O69" s="12"/>
      <c r="P69" s="12"/>
      <c r="Q69" s="12"/>
      <c r="R69" s="12"/>
      <c r="S69" s="12"/>
      <c r="U69" s="12"/>
      <c r="V69" s="12"/>
      <c r="W69" s="12"/>
      <c r="X69" s="12"/>
      <c r="Y69" s="12"/>
    </row>
    <row r="70" spans="13:25">
      <c r="M70" s="12"/>
      <c r="N70" s="12"/>
      <c r="O70" s="12"/>
      <c r="P70" s="12"/>
      <c r="Q70" s="12"/>
      <c r="R70" s="12"/>
      <c r="S70" s="12"/>
      <c r="U70" s="12"/>
      <c r="V70" s="12"/>
      <c r="W70" s="12"/>
      <c r="X70" s="12"/>
      <c r="Y70" s="12"/>
    </row>
    <row r="71" spans="13:25">
      <c r="M71" s="12"/>
      <c r="N71" s="12"/>
      <c r="O71" s="12"/>
      <c r="P71" s="12"/>
      <c r="Q71" s="12"/>
      <c r="R71" s="12"/>
      <c r="S71" s="12"/>
      <c r="U71" s="12"/>
      <c r="V71" s="12"/>
      <c r="W71" s="12"/>
      <c r="X71" s="12"/>
      <c r="Y71" s="12"/>
    </row>
    <row r="72" spans="13:25">
      <c r="M72" s="12"/>
      <c r="N72" s="12"/>
      <c r="O72" s="12"/>
      <c r="P72" s="12"/>
      <c r="Q72" s="12"/>
      <c r="R72" s="12"/>
      <c r="S72" s="12"/>
      <c r="U72" s="12"/>
      <c r="V72" s="12"/>
      <c r="W72" s="12"/>
      <c r="X72" s="12"/>
      <c r="Y72" s="12"/>
    </row>
    <row r="73" spans="13:25">
      <c r="M73" s="12"/>
      <c r="N73" s="12"/>
      <c r="O73" s="12"/>
      <c r="P73" s="12"/>
      <c r="Q73" s="12"/>
      <c r="R73" s="12"/>
      <c r="S73" s="12"/>
      <c r="U73" s="12"/>
      <c r="V73" s="12"/>
      <c r="W73" s="12"/>
      <c r="X73" s="12"/>
      <c r="Y73" s="12"/>
    </row>
    <row r="74" spans="13:25">
      <c r="M74" s="12"/>
      <c r="N74" s="12"/>
      <c r="O74" s="12"/>
      <c r="P74" s="12"/>
      <c r="Q74" s="12"/>
      <c r="R74" s="12"/>
      <c r="S74" s="12"/>
      <c r="U74" s="12"/>
      <c r="V74" s="12"/>
      <c r="W74" s="12"/>
      <c r="X74" s="12"/>
      <c r="Y74" s="12"/>
    </row>
    <row r="75" spans="13:25">
      <c r="M75" s="12"/>
      <c r="N75" s="12"/>
      <c r="O75" s="12"/>
      <c r="P75" s="12"/>
      <c r="Q75" s="12"/>
      <c r="R75" s="12"/>
      <c r="S75" s="12"/>
      <c r="U75" s="12"/>
      <c r="V75" s="12"/>
      <c r="W75" s="12"/>
      <c r="X75" s="12"/>
      <c r="Y75" s="12"/>
    </row>
    <row r="76" spans="13:25">
      <c r="M76" s="12"/>
      <c r="N76" s="12"/>
      <c r="O76" s="12"/>
      <c r="P76" s="12"/>
      <c r="Q76" s="12"/>
      <c r="R76" s="12"/>
      <c r="S76" s="12"/>
      <c r="U76" s="12"/>
      <c r="V76" s="12"/>
      <c r="W76" s="12"/>
      <c r="X76" s="12"/>
      <c r="Y76" s="12"/>
    </row>
    <row r="77" spans="13:25">
      <c r="M77" s="12"/>
      <c r="N77" s="12"/>
      <c r="O77" s="12"/>
      <c r="P77" s="12"/>
      <c r="Q77" s="12"/>
      <c r="R77" s="12"/>
      <c r="S77" s="12"/>
      <c r="U77" s="12"/>
      <c r="V77" s="12"/>
      <c r="W77" s="12"/>
      <c r="X77" s="12"/>
      <c r="Y77" s="12"/>
    </row>
    <row r="78" spans="13:25">
      <c r="M78" s="12"/>
      <c r="N78" s="12"/>
      <c r="O78" s="12"/>
      <c r="P78" s="12"/>
      <c r="Q78" s="12"/>
      <c r="R78" s="12"/>
      <c r="S78" s="12"/>
      <c r="U78" s="12"/>
      <c r="V78" s="12"/>
      <c r="W78" s="12"/>
      <c r="X78" s="12"/>
      <c r="Y78" s="12"/>
    </row>
    <row r="79" spans="13:25">
      <c r="M79" s="12"/>
      <c r="N79" s="12"/>
      <c r="O79" s="12"/>
      <c r="P79" s="12"/>
      <c r="Q79" s="12"/>
      <c r="R79" s="12"/>
      <c r="S79" s="12"/>
      <c r="U79" s="12"/>
      <c r="V79" s="12"/>
      <c r="W79" s="12"/>
      <c r="X79" s="12"/>
      <c r="Y79" s="12"/>
    </row>
  </sheetData>
  <mergeCells count="22">
    <mergeCell ref="BH9:BJ9"/>
    <mergeCell ref="CA11:CJ13"/>
    <mergeCell ref="AG3:AH3"/>
    <mergeCell ref="BQ3:BZ5"/>
    <mergeCell ref="CA3:CJ5"/>
    <mergeCell ref="AI1:AI5"/>
    <mergeCell ref="BP1:BP5"/>
    <mergeCell ref="BQ11:BZ13"/>
    <mergeCell ref="A5:L5"/>
    <mergeCell ref="CK1:CK5"/>
    <mergeCell ref="DI1:DI5"/>
    <mergeCell ref="M5:O5"/>
    <mergeCell ref="F1:G1"/>
    <mergeCell ref="H1:I1"/>
    <mergeCell ref="J1:K1"/>
    <mergeCell ref="F2:G2"/>
    <mergeCell ref="AE3:AF3"/>
    <mergeCell ref="AB3:AD3"/>
    <mergeCell ref="U3:X3"/>
    <mergeCell ref="S1:S5"/>
    <mergeCell ref="Y1:Y5"/>
    <mergeCell ref="AW1:AW5"/>
  </mergeCells>
  <pageMargins left="0.7" right="0.7" top="0.75" bottom="0.75" header="0.3" footer="0.3"/>
  <pageSetup orientation="portrait" horizontalDpi="360" verticalDpi="360" r:id="rId1"/>
  <legacy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Ryan Champagne</dc:creator>
  <cp:lastModifiedBy>Damien Rosario</cp:lastModifiedBy>
  <cp:lastPrinted>2018-04-03T19:03:54Z</cp:lastPrinted>
  <dcterms:created xsi:type="dcterms:W3CDTF">2018-03-29T17:31:11Z</dcterms:created>
  <dcterms:modified xsi:type="dcterms:W3CDTF">2018-04-12T23:26:12Z</dcterms:modified>
</cp:coreProperties>
</file>