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mc:AlternateContent xmlns:mc="http://schemas.openxmlformats.org/markup-compatibility/2006">
    <mc:Choice Requires="x15">
      <x15ac:absPath xmlns:x15ac="http://schemas.microsoft.com/office/spreadsheetml/2010/11/ac" url="C:\Users\Sheni\Desktop\Honours Bachelor of Food Studies\Semester 1\Food &amp; Beverage Cost Control\"/>
    </mc:Choice>
  </mc:AlternateContent>
  <xr:revisionPtr revIDLastSave="0" documentId="13_ncr:1_{2524623B-B7C4-42B8-9C96-D1176CED3CB5}" xr6:coauthVersionLast="47" xr6:coauthVersionMax="47" xr10:uidLastSave="{00000000-0000-0000-0000-000000000000}"/>
  <bookViews>
    <workbookView xWindow="-110" yWindow="-110" windowWidth="19420" windowHeight="10420" xr2:uid="{00000000-000D-0000-FFFF-FFFF00000000}"/>
  </bookViews>
  <sheets>
    <sheet name="Inventory List and Food Cost" sheetId="1" r:id="rId1"/>
    <sheet name="Weekly and Monthly Income Stat." sheetId="2" r:id="rId2"/>
    <sheet name="Menu Item Analysis" sheetId="4" state="hidden" r:id="rId3"/>
    <sheet name="Question Sheet" sheetId="3" r:id="rId4"/>
  </sheets>
  <definedNames>
    <definedName name="_xlnm.Print_Titles" localSheetId="0">'Inventory List and Food Cost'!$2:$2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6" i="1" l="1"/>
  <c r="I3" i="1"/>
  <c r="I5" i="1"/>
  <c r="I4" i="1"/>
  <c r="F41" i="1"/>
  <c r="F3"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 r="F8" i="1"/>
  <c r="F7" i="1"/>
  <c r="F6" i="1"/>
  <c r="F5" i="1"/>
  <c r="F4" i="1"/>
  <c r="H41" i="1"/>
  <c r="G15" i="1"/>
  <c r="B23" i="4"/>
  <c r="B11" i="4"/>
  <c r="B12" i="4"/>
  <c r="F4" i="4"/>
  <c r="G4" i="4"/>
  <c r="F5" i="4"/>
  <c r="G5" i="4"/>
  <c r="F6" i="4"/>
  <c r="G6" i="4"/>
  <c r="F7" i="4"/>
  <c r="G7" i="4"/>
  <c r="F8" i="4"/>
  <c r="G8" i="4"/>
  <c r="F3" i="4"/>
  <c r="G3" i="4"/>
  <c r="C8" i="4"/>
  <c r="C7" i="4"/>
  <c r="C6" i="4"/>
  <c r="C5" i="4"/>
  <c r="B9" i="4"/>
  <c r="C3" i="4"/>
  <c r="G9" i="4"/>
  <c r="G11" i="4"/>
  <c r="C4" i="4"/>
  <c r="B10" i="4"/>
  <c r="H20" i="2"/>
  <c r="H6" i="2"/>
  <c r="F20" i="2"/>
  <c r="F17" i="2"/>
  <c r="F10" i="2"/>
  <c r="G9" i="2"/>
  <c r="G8" i="2"/>
  <c r="F6" i="2"/>
  <c r="G13" i="2"/>
  <c r="D20" i="2"/>
  <c r="D17" i="2"/>
  <c r="D10" i="2"/>
  <c r="E9" i="2"/>
  <c r="E8" i="2"/>
  <c r="D6" i="2"/>
  <c r="E13" i="2"/>
  <c r="C9" i="2"/>
  <c r="C8" i="2"/>
  <c r="B20" i="2"/>
  <c r="B17" i="2"/>
  <c r="B6" i="2"/>
  <c r="C21" i="2"/>
  <c r="C4" i="2"/>
  <c r="C16" i="2"/>
  <c r="C22" i="2"/>
  <c r="C17" i="2"/>
  <c r="C13" i="2"/>
  <c r="C20" i="2"/>
  <c r="C5" i="2"/>
  <c r="C14" i="2"/>
  <c r="I4" i="2"/>
  <c r="I5" i="2"/>
  <c r="G17" i="2"/>
  <c r="G20" i="2"/>
  <c r="G10" i="2"/>
  <c r="G14" i="2"/>
  <c r="G21" i="2"/>
  <c r="F11" i="2"/>
  <c r="G16" i="2"/>
  <c r="G22" i="2"/>
  <c r="G4" i="2"/>
  <c r="G5" i="2"/>
  <c r="E17" i="2"/>
  <c r="E20" i="2"/>
  <c r="E5" i="2"/>
  <c r="E10" i="2"/>
  <c r="E14" i="2"/>
  <c r="E21" i="2"/>
  <c r="D11" i="2"/>
  <c r="E16" i="2"/>
  <c r="E22" i="2"/>
  <c r="E4" i="2"/>
  <c r="J41" i="1"/>
  <c r="G27"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B10" i="2"/>
  <c r="G41" i="1"/>
  <c r="C10" i="2"/>
  <c r="G11" i="2"/>
  <c r="F18" i="2"/>
  <c r="E11" i="2"/>
  <c r="D18" i="2"/>
  <c r="B11" i="2"/>
  <c r="C11" i="2"/>
  <c r="F23" i="2"/>
  <c r="G23" i="2"/>
  <c r="G18" i="2"/>
  <c r="D23" i="2"/>
  <c r="E23" i="2"/>
  <c r="E18" i="2"/>
  <c r="B18" i="2"/>
  <c r="B23" i="2"/>
  <c r="C18" i="2"/>
  <c r="C23" i="2"/>
</calcChain>
</file>

<file path=xl/sharedStrings.xml><?xml version="1.0" encoding="utf-8"?>
<sst xmlns="http://schemas.openxmlformats.org/spreadsheetml/2006/main" count="221" uniqueCount="154">
  <si>
    <t>Name</t>
  </si>
  <si>
    <t>Description</t>
  </si>
  <si>
    <t>Inventory ID</t>
  </si>
  <si>
    <t>Unit Price</t>
  </si>
  <si>
    <t>Quantity in Stock</t>
  </si>
  <si>
    <t>Inventory List</t>
  </si>
  <si>
    <t>$10/Kg</t>
  </si>
  <si>
    <t>Strawberries</t>
  </si>
  <si>
    <t>Fruit</t>
  </si>
  <si>
    <t>Produce</t>
  </si>
  <si>
    <t>$200/Case</t>
  </si>
  <si>
    <t>Pears</t>
  </si>
  <si>
    <t>$1/Each</t>
  </si>
  <si>
    <t>Watermellon</t>
  </si>
  <si>
    <t>Oranges</t>
  </si>
  <si>
    <t>Limes</t>
  </si>
  <si>
    <t>Lemons</t>
  </si>
  <si>
    <t>Iceburg Lettuce</t>
  </si>
  <si>
    <t>Romain Lettuce</t>
  </si>
  <si>
    <t xml:space="preserve">Spring Mix </t>
  </si>
  <si>
    <t>Kale</t>
  </si>
  <si>
    <t>Arugula</t>
  </si>
  <si>
    <t>Sirloin AAA</t>
  </si>
  <si>
    <t>Prime Rib AAA</t>
  </si>
  <si>
    <t>Flat Iron AAA</t>
  </si>
  <si>
    <t>Pork Chops</t>
  </si>
  <si>
    <t>Veal</t>
  </si>
  <si>
    <t>Chicken Whole</t>
  </si>
  <si>
    <t>Chicken Wings</t>
  </si>
  <si>
    <t>Milk 2%</t>
  </si>
  <si>
    <t>Whipping Cream 18%</t>
  </si>
  <si>
    <t>Half and Half</t>
  </si>
  <si>
    <t>Butter Salted</t>
  </si>
  <si>
    <t>Provolone Cheese</t>
  </si>
  <si>
    <t>Cheddar Cheese</t>
  </si>
  <si>
    <t>Cream Cheese</t>
  </si>
  <si>
    <t>Cheese Cake Whole</t>
  </si>
  <si>
    <t>Chocolate Cake Whole</t>
  </si>
  <si>
    <t>Ganache Cake Whole</t>
  </si>
  <si>
    <t>Icecream Vanilla</t>
  </si>
  <si>
    <t>Icecream Chocolate</t>
  </si>
  <si>
    <t>Parsley</t>
  </si>
  <si>
    <t>Cilantro</t>
  </si>
  <si>
    <t>Franks Red Hot</t>
  </si>
  <si>
    <t>Soya Sauce</t>
  </si>
  <si>
    <t>Seseme Seed Oil</t>
  </si>
  <si>
    <t>Canola Oil</t>
  </si>
  <si>
    <t>Fries Red Skin</t>
  </si>
  <si>
    <t>Meat</t>
  </si>
  <si>
    <t>Dairy</t>
  </si>
  <si>
    <t>Desert</t>
  </si>
  <si>
    <t>Sauce</t>
  </si>
  <si>
    <t>Miscellaneous</t>
  </si>
  <si>
    <t>$5/Each</t>
  </si>
  <si>
    <t>$10/Bag</t>
  </si>
  <si>
    <t>$40/Case</t>
  </si>
  <si>
    <t>$50/Case</t>
  </si>
  <si>
    <t>$75/Case</t>
  </si>
  <si>
    <t>$65.76/Case</t>
  </si>
  <si>
    <t>$54.56/Case</t>
  </si>
  <si>
    <t>$43.45/Case</t>
  </si>
  <si>
    <t>$7.23/Each</t>
  </si>
  <si>
    <t>$56/Kg</t>
  </si>
  <si>
    <t>$4.6/Each</t>
  </si>
  <si>
    <t>$3.5/Each</t>
  </si>
  <si>
    <t>$5.01/Each</t>
  </si>
  <si>
    <t>$2.5/Kg</t>
  </si>
  <si>
    <t>$100/Case</t>
  </si>
  <si>
    <t>$2/Each</t>
  </si>
  <si>
    <t>$1.75/Each</t>
  </si>
  <si>
    <t>$50.45/Case</t>
  </si>
  <si>
    <t>$9.76/Kg</t>
  </si>
  <si>
    <t>$4.5/Each</t>
  </si>
  <si>
    <t>$15/Each</t>
  </si>
  <si>
    <t>$12.5/Each</t>
  </si>
  <si>
    <t>$17/Each</t>
  </si>
  <si>
    <t>$45.98/Tub</t>
  </si>
  <si>
    <t>$5.56/Bag</t>
  </si>
  <si>
    <t>$5.43/Bag</t>
  </si>
  <si>
    <t>$3.76/Bottle</t>
  </si>
  <si>
    <t>$3.21/Bottle</t>
  </si>
  <si>
    <t>$3.78/Bottle</t>
  </si>
  <si>
    <t>$57.08/4L Jug</t>
  </si>
  <si>
    <t>$34.76/Case</t>
  </si>
  <si>
    <t>Yam Fries</t>
  </si>
  <si>
    <t>$45.32/Case</t>
  </si>
  <si>
    <t>Beginning Value</t>
  </si>
  <si>
    <t>Theoretical Usage</t>
  </si>
  <si>
    <t>Variance($)</t>
  </si>
  <si>
    <t>Total</t>
  </si>
  <si>
    <t>Actual Usage</t>
  </si>
  <si>
    <t>Income Statement</t>
  </si>
  <si>
    <t>For Period Ending December 31st</t>
  </si>
  <si>
    <t>SALES</t>
  </si>
  <si>
    <t>FOOD SALES</t>
  </si>
  <si>
    <t>BEVERAGE SALES</t>
  </si>
  <si>
    <t>TOTAL SALES</t>
  </si>
  <si>
    <t>COST OF SALES</t>
  </si>
  <si>
    <t> FOOD COST</t>
  </si>
  <si>
    <t> BEVERAGE COST</t>
  </si>
  <si>
    <t>TOTAL COST OF SALES</t>
  </si>
  <si>
    <t>GROSS PROFIT ON SALES</t>
  </si>
  <si>
    <t>CONTROLLABLE EXPENSES</t>
  </si>
  <si>
    <t>SALARIES &amp; WAGES</t>
  </si>
  <si>
    <t>EMPLOYEE BENEFITS</t>
  </si>
  <si>
    <t>OTHER CONTROL EXPENSE,</t>
  </si>
  <si>
    <t>REPAIR &amp; ADM</t>
  </si>
  <si>
    <t>TOTAL CONTROLLABLE EXPENSES</t>
  </si>
  <si>
    <t>INCOME BEFORE OCCUPANCY COSTS,</t>
  </si>
  <si>
    <t>INTEREST,DEPRECIATION</t>
  </si>
  <si>
    <t> OCCUPANCY COSTS</t>
  </si>
  <si>
    <t>INTEREST EXPENSE</t>
  </si>
  <si>
    <t>DEPRECIATION EXPENSE</t>
  </si>
  <si>
    <t>NET PROFIT BEFORE INCOME TAX</t>
  </si>
  <si>
    <t>Week 1</t>
  </si>
  <si>
    <t>Week 1 %</t>
  </si>
  <si>
    <t>Week 2</t>
  </si>
  <si>
    <t>Week 2 %</t>
  </si>
  <si>
    <t>Week 3</t>
  </si>
  <si>
    <t>Week 3%</t>
  </si>
  <si>
    <t>Week 4</t>
  </si>
  <si>
    <t>Week 4 %</t>
  </si>
  <si>
    <t>Monthly</t>
  </si>
  <si>
    <t>Monthly %</t>
  </si>
  <si>
    <t>Entrée Item</t>
  </si>
  <si>
    <t>Food Cost</t>
  </si>
  <si>
    <t>Price</t>
  </si>
  <si>
    <t>Steak with Rice 'n' Beans</t>
  </si>
  <si>
    <t xml:space="preserve">Total </t>
  </si>
  <si>
    <t>Number of Menu Items</t>
  </si>
  <si>
    <t>Average Popularity</t>
  </si>
  <si>
    <t>Average Contribution</t>
  </si>
  <si>
    <t>Popularity Cut-off( average *0.70)</t>
  </si>
  <si>
    <t>Menu Item Analysis Week 4</t>
  </si>
  <si>
    <t>Prime Rib</t>
  </si>
  <si>
    <t>Steak Chili</t>
  </si>
  <si>
    <t>Menu Mix</t>
  </si>
  <si>
    <t>Contribution Margin/Unit</t>
  </si>
  <si>
    <t>Total Contribution</t>
  </si>
  <si>
    <t>Popularity</t>
  </si>
  <si>
    <t>Profitablity</t>
  </si>
  <si>
    <t>Menu Item Category</t>
  </si>
  <si>
    <t>Sirloin</t>
  </si>
  <si>
    <t>Barbeque Chicken</t>
  </si>
  <si>
    <t>Low</t>
  </si>
  <si>
    <t>High</t>
  </si>
  <si>
    <t>Plowhorse</t>
  </si>
  <si>
    <t>Dog</t>
  </si>
  <si>
    <t>Star</t>
  </si>
  <si>
    <t>Puzzle</t>
  </si>
  <si>
    <t>Revised Menu Item Analysis Week 4</t>
  </si>
  <si>
    <t>Purchases</t>
  </si>
  <si>
    <t>Totals</t>
  </si>
  <si>
    <t>Ending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</si>
</sst>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44" formatCode="_-&quot;$&quot;* #,##0.00_-;\-&quot;$&quot;* #,##0.00_-;_-&quot;$&quot;* &quot;-&quot;??_-;_-@_-"/>
    <numFmt numFmtId="164" formatCode="_(&quot;$&quot;* #,##0.00_);_(&quot;$&quot;* \(#,##0.00\);_(&quot;$&quot;* &quot;-&quot;??_);_(@_)"/>
    <numFmt numFmtId="165" formatCode="&quot;$&quot;#,##0.00"/>
    <numFmt numFmtId="166" formatCode="#,##0.00_ ;\-#,##0.00\ "/>
    <numFmt numFmtId="167" formatCode="0.0%"/>
  </numFmts>
  <fonts count="11" x14ac:knownFonts="1">
    <font>
      <sz val="10"/>
      <name val="Arial"/>
    </font>
    <font>
      <sz val="14"/>
      <name val="Arial"/>
      <family val="2"/>
      <scheme val="minor"/>
    </font>
    <font>
      <b/>
      <sz val="10"/>
      <name val="Arial"/>
      <family val="2"/>
      <scheme val="minor"/>
    </font>
    <font>
      <sz val="10"/>
      <name val="Arial"/>
      <family val="2"/>
      <scheme val="minor"/>
    </font>
    <font>
      <b/>
      <sz val="14"/>
      <color theme="0"/>
      <name val="Arial"/>
      <family val="2"/>
      <scheme val="minor"/>
    </font>
    <font>
      <sz val="10"/>
      <name val="Arial"/>
      <family val="2"/>
    </font>
    <font>
      <b/>
      <sz val="11"/>
      <color theme="1"/>
      <name val="Arial"/>
      <family val="2"/>
      <scheme val="minor"/>
    </font>
    <font>
      <sz val="10"/>
      <name val="Arial"/>
      <family val="2"/>
    </font>
    <font>
      <b/>
      <sz val="14"/>
      <color theme="0"/>
      <name val="Arial"/>
      <family val="2"/>
      <scheme val="major"/>
    </font>
    <font>
      <b/>
      <sz val="10"/>
      <name val="Arial"/>
      <family val="2"/>
      <scheme val="major"/>
    </font>
    <font>
      <sz val="10"/>
      <name val="Arial"/>
      <family val="2"/>
      <scheme val="major"/>
    </font>
  </fonts>
  <fills count="5">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style="hair">
        <color theme="0"/>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4" fontId="5" fillId="0" borderId="0" applyFont="0" applyFill="0" applyBorder="0" applyAlignment="0" applyProtection="0"/>
    <xf numFmtId="9" fontId="5" fillId="0" borderId="0" applyFont="0" applyFill="0" applyBorder="0" applyAlignment="0" applyProtection="0"/>
  </cellStyleXfs>
  <cellXfs count="55">
    <xf numFmtId="0" fontId="0" fillId="0" borderId="0" xfId="0"/>
    <xf numFmtId="0" fontId="1" fillId="0" borderId="0" xfId="0" applyFont="1" applyAlignment="1">
      <alignment horizontal="left" wrapText="1" indent="1"/>
    </xf>
    <xf numFmtId="0" fontId="3" fillId="0" borderId="0" xfId="0" applyFont="1" applyAlignment="1">
      <alignment horizontal="left" wrapText="1" indent="1"/>
    </xf>
    <xf numFmtId="0" fontId="3" fillId="0" borderId="0" xfId="0" applyNumberFormat="1" applyFont="1" applyFill="1" applyBorder="1" applyAlignment="1">
      <alignment horizontal="left" wrapText="1" indent="1"/>
    </xf>
    <xf numFmtId="0" fontId="3" fillId="0" borderId="0" xfId="0" applyFont="1" applyFill="1" applyBorder="1" applyAlignment="1">
      <alignment horizontal="left" wrapText="1" indent="1"/>
    </xf>
    <xf numFmtId="0" fontId="3" fillId="0" borderId="0" xfId="0" applyNumberFormat="1" applyFont="1" applyFill="1" applyBorder="1" applyAlignment="1">
      <alignment horizontal="right" wrapText="1" indent="1"/>
    </xf>
    <xf numFmtId="0" fontId="3" fillId="0" borderId="0" xfId="0" applyFont="1" applyAlignment="1">
      <alignment horizontal="right" wrapText="1" indent="1"/>
    </xf>
    <xf numFmtId="0" fontId="2" fillId="0" borderId="0" xfId="0" applyNumberFormat="1" applyFont="1" applyFill="1" applyBorder="1" applyAlignment="1">
      <alignment horizontal="left" vertical="center" wrapText="1" indent="1"/>
    </xf>
    <xf numFmtId="165" fontId="3" fillId="0" borderId="0" xfId="0" applyNumberFormat="1" applyFont="1" applyFill="1" applyBorder="1" applyAlignment="1">
      <alignment horizontal="right" wrapText="1" indent="1"/>
    </xf>
    <xf numFmtId="165" fontId="3" fillId="0" borderId="0" xfId="0" applyNumberFormat="1" applyFont="1" applyAlignment="1">
      <alignment horizontal="right" wrapText="1" indent="1"/>
    </xf>
    <xf numFmtId="166" fontId="0" fillId="3" borderId="2" xfId="0" applyNumberFormat="1" applyFill="1" applyBorder="1"/>
    <xf numFmtId="10" fontId="0" fillId="0" borderId="2" xfId="0" applyNumberFormat="1" applyBorder="1"/>
    <xf numFmtId="165" fontId="0" fillId="0" borderId="2" xfId="0" applyNumberFormat="1" applyBorder="1"/>
    <xf numFmtId="0" fontId="6" fillId="0" borderId="2" xfId="0" applyFont="1" applyBorder="1" applyAlignment="1">
      <alignment horizontal="left"/>
    </xf>
    <xf numFmtId="0" fontId="0" fillId="0" borderId="2" xfId="0" applyBorder="1" applyAlignment="1">
      <alignment horizontal="left"/>
    </xf>
    <xf numFmtId="0" fontId="6" fillId="3" borderId="2" xfId="0" applyFont="1" applyFill="1" applyBorder="1" applyAlignment="1">
      <alignment horizontal="left"/>
    </xf>
    <xf numFmtId="0" fontId="0" fillId="3" borderId="2" xfId="0" applyFill="1" applyBorder="1" applyAlignment="1">
      <alignment horizontal="left"/>
    </xf>
    <xf numFmtId="165" fontId="0" fillId="3" borderId="2" xfId="0" applyNumberFormat="1" applyFill="1" applyBorder="1"/>
    <xf numFmtId="10" fontId="0" fillId="3" borderId="2" xfId="0" applyNumberFormat="1" applyFill="1" applyBorder="1"/>
    <xf numFmtId="0" fontId="7" fillId="3" borderId="2" xfId="0" applyFont="1" applyFill="1" applyBorder="1"/>
    <xf numFmtId="165" fontId="7" fillId="3" borderId="2" xfId="0" applyNumberFormat="1" applyFont="1" applyFill="1" applyBorder="1"/>
    <xf numFmtId="165" fontId="0" fillId="4" borderId="2" xfId="0" applyNumberFormat="1" applyFill="1" applyBorder="1"/>
    <xf numFmtId="10" fontId="0" fillId="4" borderId="2" xfId="0" applyNumberFormat="1" applyFill="1" applyBorder="1"/>
    <xf numFmtId="165" fontId="3" fillId="4" borderId="0" xfId="0" applyNumberFormat="1" applyFont="1" applyFill="1" applyBorder="1" applyAlignment="1">
      <alignment horizontal="right" wrapText="1" indent="1"/>
    </xf>
    <xf numFmtId="8" fontId="3" fillId="4" borderId="0" xfId="0" applyNumberFormat="1" applyFont="1" applyFill="1" applyBorder="1" applyAlignment="1">
      <alignment horizontal="left" wrapText="1" indent="1"/>
    </xf>
    <xf numFmtId="0" fontId="9" fillId="0" borderId="0" xfId="0" applyFont="1" applyAlignment="1">
      <alignment horizontal="center"/>
    </xf>
    <xf numFmtId="0" fontId="9" fillId="0" borderId="3" xfId="0" applyFont="1" applyBorder="1" applyAlignment="1">
      <alignment horizontal="center"/>
    </xf>
    <xf numFmtId="0" fontId="9" fillId="0" borderId="2" xfId="0" applyFont="1" applyBorder="1" applyAlignment="1">
      <alignment horizontal="center"/>
    </xf>
    <xf numFmtId="0" fontId="10" fillId="0" borderId="0" xfId="0" applyFont="1"/>
    <xf numFmtId="0" fontId="9" fillId="0" borderId="2" xfId="0" applyFont="1" applyBorder="1"/>
    <xf numFmtId="167" fontId="10" fillId="4" borderId="2" xfId="2" applyNumberFormat="1" applyFont="1" applyFill="1" applyBorder="1"/>
    <xf numFmtId="44" fontId="9" fillId="0" borderId="2" xfId="1" applyFont="1" applyBorder="1"/>
    <xf numFmtId="164" fontId="10" fillId="4" borderId="2" xfId="0" applyNumberFormat="1" applyFont="1" applyFill="1" applyBorder="1" applyProtection="1">
      <protection locked="0"/>
    </xf>
    <xf numFmtId="164" fontId="10" fillId="4" borderId="2" xfId="0" applyNumberFormat="1" applyFont="1" applyFill="1" applyBorder="1"/>
    <xf numFmtId="0" fontId="10" fillId="4" borderId="2" xfId="0" applyFont="1" applyFill="1" applyBorder="1" applyAlignment="1">
      <alignment horizontal="center"/>
    </xf>
    <xf numFmtId="0" fontId="10" fillId="0" borderId="0" xfId="0" applyFont="1" applyAlignment="1">
      <alignment horizontal="left" wrapText="1"/>
    </xf>
    <xf numFmtId="0" fontId="10" fillId="0" borderId="0" xfId="0" applyFont="1" applyAlignment="1">
      <alignment wrapText="1"/>
    </xf>
    <xf numFmtId="0" fontId="9" fillId="0" borderId="3" xfId="0" applyFont="1" applyBorder="1"/>
    <xf numFmtId="0" fontId="10" fillId="4" borderId="2" xfId="0" applyFont="1" applyFill="1" applyBorder="1"/>
    <xf numFmtId="167" fontId="10" fillId="0" borderId="2" xfId="2" applyNumberFormat="1" applyFont="1" applyBorder="1"/>
    <xf numFmtId="0" fontId="10" fillId="0" borderId="2" xfId="0" applyFont="1" applyBorder="1"/>
    <xf numFmtId="0" fontId="10" fillId="0" borderId="3" xfId="0" applyFont="1" applyBorder="1"/>
    <xf numFmtId="167" fontId="10" fillId="0" borderId="0" xfId="2" applyNumberFormat="1" applyFont="1"/>
    <xf numFmtId="0" fontId="10" fillId="0" borderId="0" xfId="0" applyFont="1" applyAlignment="1">
      <alignment horizontal="center" wrapText="1"/>
    </xf>
    <xf numFmtId="9" fontId="10" fillId="4" borderId="2" xfId="0" applyNumberFormat="1" applyFont="1" applyFill="1" applyBorder="1"/>
    <xf numFmtId="10" fontId="10" fillId="0" borderId="0" xfId="0" applyNumberFormat="1" applyFont="1"/>
    <xf numFmtId="10" fontId="10" fillId="4" borderId="2" xfId="0" applyNumberFormat="1" applyFont="1" applyFill="1" applyBorder="1"/>
    <xf numFmtId="0" fontId="4" fillId="2" borderId="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9" fillId="0" borderId="4" xfId="0" applyFont="1" applyBorder="1" applyAlignment="1">
      <alignment horizontal="center"/>
    </xf>
    <xf numFmtId="0" fontId="9" fillId="0" borderId="0" xfId="0" applyFont="1" applyBorder="1" applyAlignment="1">
      <alignment horizontal="center"/>
    </xf>
    <xf numFmtId="0" fontId="10" fillId="4" borderId="5" xfId="0" applyFont="1" applyFill="1" applyBorder="1" applyAlignment="1">
      <alignment horizontal="center"/>
    </xf>
    <xf numFmtId="0" fontId="10" fillId="4" borderId="6" xfId="0" applyFont="1" applyFill="1" applyBorder="1" applyAlignment="1">
      <alignment horizontal="center"/>
    </xf>
  </cellXfs>
  <cellStyles count="3">
    <cellStyle name="Currency" xfId="1" builtinId="4"/>
    <cellStyle name="Normal" xfId="0" builtinId="0"/>
    <cellStyle name="Percent" xfId="2" builtinId="5"/>
  </cellStyles>
  <dxfs count="13">
    <dxf>
      <font>
        <b val="0"/>
        <i val="0"/>
        <strike val="0"/>
        <condense val="0"/>
        <extend val="0"/>
        <outline val="0"/>
        <shadow val="0"/>
        <u val="none"/>
        <vertAlign val="baseline"/>
        <sz val="10"/>
        <color auto="1"/>
        <name val="Arial"/>
        <scheme val="minor"/>
      </font>
      <numFmt numFmtId="0" formatCode="General"/>
      <fill>
        <patternFill patternType="none">
          <fgColor indexed="64"/>
          <bgColor indexed="65"/>
        </patternFill>
      </fill>
      <alignment horizontal="left" vertical="bottom" textRotation="0" wrapText="1" indent="1" justifyLastLine="0" shrinkToFit="0" readingOrder="0"/>
    </dxf>
    <dxf>
      <font>
        <b val="0"/>
        <i val="0"/>
        <strike val="0"/>
        <condense val="0"/>
        <extend val="0"/>
        <outline val="0"/>
        <shadow val="0"/>
        <u val="none"/>
        <vertAlign val="baseline"/>
        <sz val="10"/>
        <color auto="1"/>
        <name val="Arial"/>
        <scheme val="minor"/>
      </font>
      <numFmt numFmtId="0" formatCode="General"/>
      <fill>
        <patternFill patternType="none">
          <fgColor indexed="64"/>
          <bgColor indexed="65"/>
        </patternFill>
      </fill>
      <alignment horizontal="right" textRotation="0" wrapText="1" indent="1" justifyLastLine="0" shrinkToFit="0" readingOrder="0"/>
    </dxf>
    <dxf>
      <font>
        <b val="0"/>
        <i val="0"/>
        <strike val="0"/>
        <condense val="0"/>
        <extend val="0"/>
        <outline val="0"/>
        <shadow val="0"/>
        <u val="none"/>
        <vertAlign val="baseline"/>
        <sz val="10"/>
        <color auto="1"/>
        <name val="Arial"/>
        <scheme val="minor"/>
      </font>
      <numFmt numFmtId="0" formatCode="General"/>
      <fill>
        <patternFill patternType="none">
          <fgColor indexed="64"/>
          <bgColor indexed="65"/>
        </patternFill>
      </fill>
      <alignment horizontal="right" vertical="bottom" textRotation="0" wrapText="1" indent="1" justifyLastLine="0" shrinkToFit="0" readingOrder="0"/>
    </dxf>
    <dxf>
      <font>
        <b val="0"/>
        <i val="0"/>
        <strike val="0"/>
        <condense val="0"/>
        <extend val="0"/>
        <outline val="0"/>
        <shadow val="0"/>
        <u val="none"/>
        <vertAlign val="baseline"/>
        <sz val="10"/>
        <color auto="1"/>
        <name val="Arial"/>
        <scheme val="minor"/>
      </font>
      <numFmt numFmtId="0" formatCode="General"/>
      <fill>
        <patternFill patternType="none">
          <fgColor indexed="64"/>
          <bgColor indexed="65"/>
        </patternFill>
      </fill>
      <alignment horizontal="right" vertical="bottom" textRotation="0" wrapText="1" indent="1" justifyLastLine="0" shrinkToFit="0" readingOrder="0"/>
    </dxf>
    <dxf>
      <font>
        <b val="0"/>
        <i val="0"/>
        <strike val="0"/>
        <condense val="0"/>
        <extend val="0"/>
        <outline val="0"/>
        <shadow val="0"/>
        <u val="none"/>
        <vertAlign val="baseline"/>
        <sz val="10"/>
        <color auto="1"/>
        <name val="Arial"/>
        <scheme val="minor"/>
      </font>
      <numFmt numFmtId="0" formatCode="General"/>
      <fill>
        <patternFill patternType="none">
          <fgColor indexed="64"/>
          <bgColor indexed="65"/>
        </patternFill>
      </fill>
      <alignment horizontal="right" textRotation="0" wrapText="1" indent="1" justifyLastLine="0" shrinkToFit="0" readingOrder="0"/>
    </dxf>
    <dxf>
      <font>
        <b val="0"/>
        <i val="0"/>
        <strike val="0"/>
        <condense val="0"/>
        <extend val="0"/>
        <outline val="0"/>
        <shadow val="0"/>
        <u val="none"/>
        <vertAlign val="baseline"/>
        <sz val="10"/>
        <color auto="1"/>
        <name val="Arial"/>
        <scheme val="minor"/>
      </font>
      <numFmt numFmtId="165" formatCode="&quot;$&quot;#,##0.00"/>
      <fill>
        <patternFill patternType="none">
          <fgColor indexed="64"/>
          <bgColor indexed="65"/>
        </patternFill>
      </fill>
      <alignment horizontal="right" textRotation="0" wrapText="1" indent="1" justifyLastLine="0" shrinkToFit="0" readingOrder="0"/>
    </dxf>
    <dxf>
      <font>
        <b val="0"/>
        <i val="0"/>
        <strike val="0"/>
        <condense val="0"/>
        <extend val="0"/>
        <outline val="0"/>
        <shadow val="0"/>
        <u val="none"/>
        <vertAlign val="baseline"/>
        <sz val="10"/>
        <color auto="1"/>
        <name val="Arial"/>
        <scheme val="minor"/>
      </font>
      <numFmt numFmtId="0" formatCode="General"/>
      <fill>
        <patternFill patternType="none">
          <fgColor indexed="64"/>
          <bgColor indexed="65"/>
        </patternFill>
      </fill>
      <alignment horizontal="right" textRotation="0" wrapText="1" indent="1" justifyLastLine="0" shrinkToFit="0" readingOrder="0"/>
    </dxf>
    <dxf>
      <font>
        <b val="0"/>
        <i val="0"/>
        <strike val="0"/>
        <condense val="0"/>
        <extend val="0"/>
        <outline val="0"/>
        <shadow val="0"/>
        <u val="none"/>
        <vertAlign val="baseline"/>
        <sz val="10"/>
        <color auto="1"/>
        <name val="Arial"/>
        <scheme val="minor"/>
      </font>
      <numFmt numFmtId="165" formatCode="&quot;$&quot;#,##0.00"/>
      <fill>
        <patternFill patternType="none">
          <fgColor indexed="64"/>
          <bgColor indexed="65"/>
        </patternFill>
      </fill>
      <alignment horizontal="right" textRotation="0" wrapText="1" indent="1" justifyLastLine="0" shrinkToFit="0" readingOrder="0"/>
    </dxf>
    <dxf>
      <font>
        <b val="0"/>
        <i val="0"/>
        <strike val="0"/>
        <condense val="0"/>
        <extend val="0"/>
        <outline val="0"/>
        <shadow val="0"/>
        <u val="none"/>
        <vertAlign val="baseline"/>
        <sz val="10"/>
        <color auto="1"/>
        <name val="Arial"/>
        <scheme val="minor"/>
      </font>
      <fill>
        <patternFill patternType="none">
          <fgColor indexed="64"/>
          <bgColor indexed="65"/>
        </patternFill>
      </fill>
      <alignment horizontal="left" vertical="bottom" textRotation="0" wrapText="1" indent="1" justifyLastLine="0" shrinkToFit="0" readingOrder="0"/>
    </dxf>
    <dxf>
      <font>
        <b val="0"/>
        <i val="0"/>
        <strike val="0"/>
        <condense val="0"/>
        <extend val="0"/>
        <outline val="0"/>
        <shadow val="0"/>
        <u val="none"/>
        <vertAlign val="baseline"/>
        <sz val="10"/>
        <color auto="1"/>
        <name val="Arial"/>
        <scheme val="minor"/>
      </font>
      <fill>
        <patternFill patternType="none">
          <fgColor indexed="64"/>
          <bgColor indexed="65"/>
        </patternFill>
      </fill>
      <alignment horizontal="left" vertical="bottom" textRotation="0" wrapText="1" indent="1" justifyLastLine="0" shrinkToFit="0" readingOrder="0"/>
    </dxf>
    <dxf>
      <font>
        <b val="0"/>
        <i val="0"/>
        <strike val="0"/>
        <condense val="0"/>
        <extend val="0"/>
        <outline val="0"/>
        <shadow val="0"/>
        <u val="none"/>
        <vertAlign val="baseline"/>
        <sz val="10"/>
        <color auto="1"/>
        <name val="Arial"/>
        <scheme val="minor"/>
      </font>
      <numFmt numFmtId="0" formatCode="General"/>
      <fill>
        <patternFill patternType="none">
          <fgColor indexed="64"/>
          <bgColor indexed="65"/>
        </patternFill>
      </fill>
      <alignment horizontal="left" textRotation="0" wrapText="1" indent="1" justifyLastLine="0" shrinkToFit="0" readingOrder="0"/>
    </dxf>
    <dxf>
      <font>
        <b val="0"/>
        <i val="0"/>
        <strike val="0"/>
        <condense val="0"/>
        <extend val="0"/>
        <outline val="0"/>
        <shadow val="0"/>
        <u val="none"/>
        <vertAlign val="baseline"/>
        <sz val="10"/>
        <color auto="1"/>
        <name val="Arial"/>
        <scheme val="minor"/>
      </font>
      <fill>
        <patternFill patternType="none">
          <fgColor indexed="64"/>
          <bgColor indexed="65"/>
        </patternFill>
      </fill>
      <alignment horizontal="left" textRotation="0" wrapText="1" indent="1" justifyLastLine="0" shrinkToFit="0" readingOrder="0"/>
      <border diagonalUp="0" diagonalDown="0">
        <right style="thin">
          <color indexed="10"/>
        </right>
        <top/>
      </border>
    </dxf>
    <dxf>
      <font>
        <b/>
        <i val="0"/>
        <strike val="0"/>
        <condense val="0"/>
        <extend val="0"/>
        <outline val="0"/>
        <shadow val="0"/>
        <u val="none"/>
        <vertAlign val="baseline"/>
        <sz val="10"/>
        <color auto="1"/>
        <name val="Arial"/>
        <scheme val="minor"/>
      </font>
      <numFmt numFmtId="0" formatCode="General"/>
      <fill>
        <patternFill patternType="none">
          <fgColor indexed="64"/>
          <bgColor indexed="65"/>
        </patternFill>
      </fill>
      <alignment horizontal="left" vertical="center" textRotation="0" wrapText="1" indent="1" justifyLastLine="0" shrinkToFit="0" readingOrder="0"/>
      <border diagonalUp="0" diagonalDown="0">
        <left style="thin">
          <color indexed="10"/>
        </left>
        <right style="thin">
          <color indexed="10"/>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B4C3AF"/>
      <rgbColor rgb="00FFFFFF"/>
      <rgbColor rgb="0078916E"/>
      <rgbColor rgb="0000FF00"/>
      <rgbColor rgb="000000FF"/>
      <rgbColor rgb="00FFFF00"/>
      <rgbColor rgb="00AFB487"/>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0EBD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114300</xdr:colOff>
      <xdr:row>1</xdr:row>
      <xdr:rowOff>9525</xdr:rowOff>
    </xdr:from>
    <xdr:to>
      <xdr:col>11</xdr:col>
      <xdr:colOff>590550</xdr:colOff>
      <xdr:row>43</xdr:row>
      <xdr:rowOff>114300</xdr:rowOff>
    </xdr:to>
    <xdr:sp macro="" textlink="">
      <xdr:nvSpPr>
        <xdr:cNvPr id="2" name="TextBox 1">
          <a:extLst>
            <a:ext uri="{FF2B5EF4-FFF2-40B4-BE49-F238E27FC236}">
              <a16:creationId xmlns:a16="http://schemas.microsoft.com/office/drawing/2014/main" id="{05487D4E-095D-4084-88F8-190DA6FE2D9F}"/>
            </a:ext>
          </a:extLst>
        </xdr:cNvPr>
        <xdr:cNvSpPr txBox="1"/>
      </xdr:nvSpPr>
      <xdr:spPr>
        <a:xfrm>
          <a:off x="114300" y="171450"/>
          <a:ext cx="7181850" cy="6905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a:t>1)</a:t>
          </a:r>
          <a:r>
            <a:rPr lang="en-CA" sz="1100" baseline="0"/>
            <a:t> Having completed the weekly inventory and food cost, what was the cost of food for the week? What was the potential savings or dollar varience for the week and what were two items that were of the highest dollar cost? (5 Marks)</a:t>
          </a:r>
        </a:p>
        <a:p>
          <a:endParaRPr lang="en-CA" sz="1100" baseline="0"/>
        </a:p>
        <a:p>
          <a:r>
            <a:rPr lang="en-CA" sz="1100" baseline="0"/>
            <a:t>2) Having completed the weekly and monthly income statement and using the standard costs in the assignment instructions how is this restaurant doing with regards to effiency of costs and profitability of week 4 when compared to all previous weeks?(5 Marks)</a:t>
          </a:r>
        </a:p>
        <a:p>
          <a:endParaRPr lang="en-CA" sz="1100" baseline="0"/>
        </a:p>
        <a:p>
          <a:r>
            <a:rPr lang="en-CA" sz="1100" baseline="0"/>
            <a:t>3) Using the completed income statement sheet, how does week fours performance compare to the month  to date results with regards to costs and profitability? (5 Marks)</a:t>
          </a:r>
        </a:p>
        <a:p>
          <a:endParaRPr lang="en-CA" sz="1100"/>
        </a:p>
        <a:p>
          <a:r>
            <a:rPr lang="en-CA" sz="1100"/>
            <a:t>4)</a:t>
          </a:r>
          <a:r>
            <a:rPr lang="en-CA" sz="1100" baseline="0"/>
            <a:t> Using the theoretical usage on the weekly inventory worksheet and using the periodic inventory method calculate the amount of product to order for all meat products. Assume there are 3 days in the delivery period with a 10% saftey factor (5 Marks).</a:t>
          </a:r>
        </a:p>
        <a:p>
          <a:endParaRPr lang="en-CA" sz="1100" baseline="0"/>
        </a:p>
        <a:p>
          <a:endParaRPr lang="en-CA" sz="1100" baseline="0"/>
        </a:p>
        <a:p>
          <a:r>
            <a:rPr lang="en-CA" sz="1100" baseline="0"/>
            <a:t>5) Assuming you served 1000 guest over the course of the month, what is the monthly breakeven point given your monthly fixed costs and variable cost structure? (5 Marks)</a:t>
          </a:r>
          <a:endParaRPr lang="en-CA"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K46" totalsRowShown="0" headerRowDxfId="12" dataDxfId="11">
  <autoFilter ref="A2:K46" xr:uid="{00000000-0009-0000-0100-000001000000}"/>
  <tableColumns count="11">
    <tableColumn id="1" xr3:uid="{00000000-0010-0000-0000-000001000000}" name="Inventory ID" dataDxfId="10"/>
    <tableColumn id="2" xr3:uid="{00000000-0010-0000-0000-000002000000}" name="Name" dataDxfId="9"/>
    <tableColumn id="3" xr3:uid="{00000000-0010-0000-0000-000003000000}" name="Description" dataDxfId="8"/>
    <tableColumn id="4" xr3:uid="{00000000-0010-0000-0000-000004000000}" name="Unit Price" dataDxfId="7"/>
    <tableColumn id="5" xr3:uid="{00000000-0010-0000-0000-000005000000}" name="Quantity in Stock" dataDxfId="6"/>
    <tableColumn id="6" xr3:uid="{00000000-0010-0000-0000-000006000000}" name="Ending Value" dataDxfId="5"/>
    <tableColumn id="7" xr3:uid="{00000000-0010-0000-0000-000007000000}" name="Beginning Value" dataDxfId="4"/>
    <tableColumn id="11" xr3:uid="{00000000-0010-0000-0000-00000B000000}" name="Purchases" dataDxfId="3"/>
    <tableColumn id="10" xr3:uid="{00000000-0010-0000-0000-00000A000000}" name="Actual Usage" dataDxfId="2">
      <calculatedColumnFormula>Table1[[#This Row],[Beginning Value]]-Table1[[#This Row],[Ending Value]]</calculatedColumnFormula>
    </tableColumn>
    <tableColumn id="8" xr3:uid="{00000000-0010-0000-0000-000008000000}" name="Theoretical Usage" dataDxfId="1"/>
    <tableColumn id="9" xr3:uid="{00000000-0010-0000-0000-000009000000}" name="Variance($)"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Paper">
      <a:dk1>
        <a:sysClr val="windowText" lastClr="000000"/>
      </a:dk1>
      <a:lt1>
        <a:sysClr val="window" lastClr="FFFFFF"/>
      </a:lt1>
      <a:dk2>
        <a:srgbClr val="444D26"/>
      </a:dk2>
      <a:lt2>
        <a:srgbClr val="FEFAC9"/>
      </a:lt2>
      <a:accent1>
        <a:srgbClr val="A5B592"/>
      </a:accent1>
      <a:accent2>
        <a:srgbClr val="F3A447"/>
      </a:accent2>
      <a:accent3>
        <a:srgbClr val="E7BC29"/>
      </a:accent3>
      <a:accent4>
        <a:srgbClr val="D092A7"/>
      </a:accent4>
      <a:accent5>
        <a:srgbClr val="9C85C0"/>
      </a:accent5>
      <a:accent6>
        <a:srgbClr val="809EC2"/>
      </a:accent6>
      <a:hlink>
        <a:srgbClr val="8E58B6"/>
      </a:hlink>
      <a:folHlink>
        <a:srgbClr val="7F6F6F"/>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6"/>
  <sheetViews>
    <sheetView showGridLines="0" tabSelected="1" topLeftCell="B1" workbookViewId="0">
      <pane ySplit="2" topLeftCell="A3" activePane="bottomLeft" state="frozen"/>
      <selection pane="bottomLeft" activeCell="G8" sqref="G8"/>
    </sheetView>
  </sheetViews>
  <sheetFormatPr defaultColWidth="9.1796875" defaultRowHeight="15" customHeight="1" x14ac:dyDescent="0.25"/>
  <cols>
    <col min="1" max="1" width="14.26953125" style="2" customWidth="1"/>
    <col min="2" max="2" width="25" style="2" customWidth="1"/>
    <col min="3" max="3" width="17.81640625" style="2" customWidth="1"/>
    <col min="4" max="4" width="15.81640625" style="9" customWidth="1"/>
    <col min="5" max="5" width="15.81640625" style="6" customWidth="1"/>
    <col min="6" max="6" width="13.453125" style="6" customWidth="1"/>
    <col min="7" max="7" width="16.26953125" style="6" customWidth="1"/>
    <col min="8" max="8" width="15.7265625" style="6" customWidth="1"/>
    <col min="9" max="9" width="16" style="2" customWidth="1"/>
    <col min="10" max="10" width="14.54296875" style="2" customWidth="1"/>
    <col min="11" max="11" width="14" style="2" customWidth="1"/>
    <col min="12" max="16384" width="9.1796875" style="2"/>
  </cols>
  <sheetData>
    <row r="1" spans="1:11" s="1" customFormat="1" ht="28.5" customHeight="1" x14ac:dyDescent="0.35">
      <c r="A1" s="47" t="s">
        <v>5</v>
      </c>
      <c r="B1" s="48"/>
      <c r="C1" s="48"/>
      <c r="D1" s="48"/>
      <c r="E1" s="48"/>
      <c r="F1" s="48"/>
      <c r="G1" s="48"/>
      <c r="H1" s="48"/>
      <c r="I1" s="48"/>
      <c r="J1" s="48"/>
      <c r="K1" s="48"/>
    </row>
    <row r="2" spans="1:11" ht="30" customHeight="1" x14ac:dyDescent="0.25">
      <c r="A2" s="7" t="s">
        <v>2</v>
      </c>
      <c r="B2" s="7" t="s">
        <v>0</v>
      </c>
      <c r="C2" s="7" t="s">
        <v>1</v>
      </c>
      <c r="D2" s="7" t="s">
        <v>3</v>
      </c>
      <c r="E2" s="7" t="s">
        <v>4</v>
      </c>
      <c r="F2" s="7" t="s">
        <v>153</v>
      </c>
      <c r="G2" s="7" t="s">
        <v>86</v>
      </c>
      <c r="H2" s="7" t="s">
        <v>151</v>
      </c>
      <c r="I2" s="7" t="s">
        <v>90</v>
      </c>
      <c r="J2" s="7" t="s">
        <v>87</v>
      </c>
      <c r="K2" s="7" t="s">
        <v>88</v>
      </c>
    </row>
    <row r="3" spans="1:11" ht="15" customHeight="1" x14ac:dyDescent="0.25">
      <c r="A3" s="3">
        <v>10052</v>
      </c>
      <c r="B3" s="4" t="s">
        <v>18</v>
      </c>
      <c r="C3" s="4" t="s">
        <v>9</v>
      </c>
      <c r="D3" s="8" t="s">
        <v>6</v>
      </c>
      <c r="E3" s="5">
        <v>10</v>
      </c>
      <c r="F3" s="23">
        <f>10*10</f>
        <v>100</v>
      </c>
      <c r="G3" s="8">
        <v>156</v>
      </c>
      <c r="H3" s="8">
        <v>15</v>
      </c>
      <c r="I3" s="23">
        <f>156+15-100</f>
        <v>71</v>
      </c>
      <c r="J3" s="8">
        <v>71.25</v>
      </c>
      <c r="K3" s="24"/>
    </row>
    <row r="4" spans="1:11" ht="15" customHeight="1" x14ac:dyDescent="0.25">
      <c r="A4" s="3">
        <v>10053</v>
      </c>
      <c r="B4" s="4" t="s">
        <v>7</v>
      </c>
      <c r="C4" s="4" t="s">
        <v>8</v>
      </c>
      <c r="D4" s="8" t="s">
        <v>10</v>
      </c>
      <c r="E4" s="5">
        <v>2.5</v>
      </c>
      <c r="F4" s="23">
        <f>200*2.5</f>
        <v>500</v>
      </c>
      <c r="G4" s="8">
        <v>522</v>
      </c>
      <c r="H4" s="8">
        <v>12</v>
      </c>
      <c r="I4" s="23">
        <f>522+12-500</f>
        <v>34</v>
      </c>
      <c r="J4" s="8">
        <v>132</v>
      </c>
      <c r="K4" s="24"/>
    </row>
    <row r="5" spans="1:11" ht="15" customHeight="1" x14ac:dyDescent="0.25">
      <c r="A5" s="3">
        <f>A4+1</f>
        <v>10054</v>
      </c>
      <c r="B5" s="4" t="s">
        <v>11</v>
      </c>
      <c r="C5" s="4" t="s">
        <v>8</v>
      </c>
      <c r="D5" s="8" t="s">
        <v>12</v>
      </c>
      <c r="E5" s="5">
        <v>6</v>
      </c>
      <c r="F5" s="23">
        <f>1*6</f>
        <v>6</v>
      </c>
      <c r="G5" s="8">
        <v>7</v>
      </c>
      <c r="H5" s="8">
        <v>16</v>
      </c>
      <c r="I5" s="23">
        <f>7+16-6</f>
        <v>17</v>
      </c>
      <c r="J5" s="8">
        <v>15.5</v>
      </c>
      <c r="K5" s="24"/>
    </row>
    <row r="6" spans="1:11" ht="15" customHeight="1" x14ac:dyDescent="0.25">
      <c r="A6" s="3">
        <f t="shared" ref="A6:A40" si="0">A5+1</f>
        <v>10055</v>
      </c>
      <c r="B6" s="4" t="s">
        <v>13</v>
      </c>
      <c r="C6" s="4" t="s">
        <v>8</v>
      </c>
      <c r="D6" s="8" t="s">
        <v>53</v>
      </c>
      <c r="E6" s="5">
        <v>2</v>
      </c>
      <c r="F6" s="23">
        <f>5*2</f>
        <v>10</v>
      </c>
      <c r="G6" s="8">
        <v>10</v>
      </c>
      <c r="H6" s="8">
        <v>32</v>
      </c>
      <c r="I6" s="23">
        <f>10+32-10</f>
        <v>32</v>
      </c>
      <c r="J6" s="8">
        <v>31.26</v>
      </c>
      <c r="K6" s="24"/>
    </row>
    <row r="7" spans="1:11" ht="15" customHeight="1" x14ac:dyDescent="0.25">
      <c r="A7" s="3">
        <f t="shared" si="0"/>
        <v>10056</v>
      </c>
      <c r="B7" s="4" t="s">
        <v>14</v>
      </c>
      <c r="C7" s="4" t="s">
        <v>8</v>
      </c>
      <c r="D7" s="8" t="s">
        <v>54</v>
      </c>
      <c r="E7" s="5">
        <v>12</v>
      </c>
      <c r="F7" s="23">
        <f>10*12</f>
        <v>120</v>
      </c>
      <c r="G7" s="8">
        <v>126</v>
      </c>
      <c r="H7" s="8">
        <v>15</v>
      </c>
      <c r="I7" s="23"/>
      <c r="J7" s="8">
        <v>0</v>
      </c>
      <c r="K7" s="24"/>
    </row>
    <row r="8" spans="1:11" ht="15" customHeight="1" x14ac:dyDescent="0.25">
      <c r="A8" s="3">
        <f t="shared" si="0"/>
        <v>10057</v>
      </c>
      <c r="B8" s="4" t="s">
        <v>15</v>
      </c>
      <c r="C8" s="4" t="s">
        <v>8</v>
      </c>
      <c r="D8" s="8" t="s">
        <v>56</v>
      </c>
      <c r="E8" s="5">
        <v>1.2</v>
      </c>
      <c r="F8" s="23">
        <f>50*1.2</f>
        <v>60</v>
      </c>
      <c r="G8" s="8">
        <v>69</v>
      </c>
      <c r="H8" s="8">
        <v>21</v>
      </c>
      <c r="I8" s="23"/>
      <c r="J8" s="8">
        <v>2.2999999999999998</v>
      </c>
      <c r="K8" s="24"/>
    </row>
    <row r="9" spans="1:11" ht="15" customHeight="1" x14ac:dyDescent="0.25">
      <c r="A9" s="3">
        <f t="shared" si="0"/>
        <v>10058</v>
      </c>
      <c r="B9" s="4" t="s">
        <v>16</v>
      </c>
      <c r="C9" s="4" t="s">
        <v>8</v>
      </c>
      <c r="D9" s="8" t="s">
        <v>55</v>
      </c>
      <c r="E9" s="5">
        <v>1.65</v>
      </c>
      <c r="F9" s="23">
        <f>40*1.65</f>
        <v>66</v>
      </c>
      <c r="G9" s="8">
        <v>75</v>
      </c>
      <c r="H9" s="8">
        <v>15</v>
      </c>
      <c r="I9" s="23"/>
      <c r="J9" s="8">
        <v>1.21</v>
      </c>
      <c r="K9" s="24"/>
    </row>
    <row r="10" spans="1:11" ht="15" customHeight="1" x14ac:dyDescent="0.25">
      <c r="A10" s="3">
        <f t="shared" si="0"/>
        <v>10059</v>
      </c>
      <c r="B10" s="4" t="s">
        <v>17</v>
      </c>
      <c r="C10" s="4" t="s">
        <v>9</v>
      </c>
      <c r="D10" s="8" t="s">
        <v>57</v>
      </c>
      <c r="E10" s="5">
        <v>1.24</v>
      </c>
      <c r="F10" s="23">
        <f>75*1.24</f>
        <v>93</v>
      </c>
      <c r="G10" s="8">
        <v>101</v>
      </c>
      <c r="H10" s="8">
        <v>25</v>
      </c>
      <c r="I10" s="23"/>
      <c r="J10" s="8">
        <v>32.15</v>
      </c>
      <c r="K10" s="24"/>
    </row>
    <row r="11" spans="1:11" ht="15" customHeight="1" x14ac:dyDescent="0.25">
      <c r="A11" s="3">
        <f t="shared" si="0"/>
        <v>10060</v>
      </c>
      <c r="B11" s="4" t="s">
        <v>19</v>
      </c>
      <c r="C11" s="4" t="s">
        <v>9</v>
      </c>
      <c r="D11" s="8" t="s">
        <v>58</v>
      </c>
      <c r="E11" s="5">
        <v>0.75</v>
      </c>
      <c r="F11" s="23">
        <f>65.76*0.75</f>
        <v>49.320000000000007</v>
      </c>
      <c r="G11" s="8">
        <v>62.56</v>
      </c>
      <c r="H11" s="8">
        <v>35</v>
      </c>
      <c r="I11" s="23"/>
      <c r="J11" s="8">
        <v>45.25</v>
      </c>
      <c r="K11" s="24"/>
    </row>
    <row r="12" spans="1:11" ht="15" customHeight="1" x14ac:dyDescent="0.25">
      <c r="A12" s="3">
        <f t="shared" si="0"/>
        <v>10061</v>
      </c>
      <c r="B12" s="4" t="s">
        <v>20</v>
      </c>
      <c r="C12" s="4" t="s">
        <v>9</v>
      </c>
      <c r="D12" s="8" t="s">
        <v>59</v>
      </c>
      <c r="E12" s="5">
        <v>0.32</v>
      </c>
      <c r="F12" s="23">
        <f>54.56*0.32</f>
        <v>17.459200000000003</v>
      </c>
      <c r="G12" s="8">
        <v>21.32</v>
      </c>
      <c r="H12" s="8">
        <v>15</v>
      </c>
      <c r="I12" s="23"/>
      <c r="J12" s="8">
        <v>17.25</v>
      </c>
      <c r="K12" s="24"/>
    </row>
    <row r="13" spans="1:11" ht="15" customHeight="1" x14ac:dyDescent="0.25">
      <c r="A13" s="3">
        <f t="shared" si="0"/>
        <v>10062</v>
      </c>
      <c r="B13" s="4" t="s">
        <v>21</v>
      </c>
      <c r="C13" s="4" t="s">
        <v>9</v>
      </c>
      <c r="D13" s="8" t="s">
        <v>60</v>
      </c>
      <c r="E13" s="5">
        <v>0.95</v>
      </c>
      <c r="F13" s="23">
        <f>43.45*0.95</f>
        <v>41.277500000000003</v>
      </c>
      <c r="G13" s="8">
        <v>56.36</v>
      </c>
      <c r="H13" s="8">
        <v>48</v>
      </c>
      <c r="I13" s="23"/>
      <c r="J13" s="8">
        <v>61.68</v>
      </c>
      <c r="K13" s="24"/>
    </row>
    <row r="14" spans="1:11" ht="15" customHeight="1" x14ac:dyDescent="0.25">
      <c r="A14" s="3">
        <f t="shared" si="0"/>
        <v>10063</v>
      </c>
      <c r="B14" s="4" t="s">
        <v>22</v>
      </c>
      <c r="C14" s="4" t="s">
        <v>48</v>
      </c>
      <c r="D14" s="8" t="s">
        <v>61</v>
      </c>
      <c r="E14" s="5">
        <v>24</v>
      </c>
      <c r="F14" s="23">
        <f>7.23*24</f>
        <v>173.52</v>
      </c>
      <c r="G14" s="8">
        <v>220.65</v>
      </c>
      <c r="H14" s="8">
        <v>35</v>
      </c>
      <c r="I14" s="23"/>
      <c r="J14" s="8">
        <v>72.25</v>
      </c>
      <c r="K14" s="24"/>
    </row>
    <row r="15" spans="1:11" ht="15" customHeight="1" x14ac:dyDescent="0.25">
      <c r="A15" s="3">
        <f t="shared" si="0"/>
        <v>10064</v>
      </c>
      <c r="B15" s="4" t="s">
        <v>23</v>
      </c>
      <c r="C15" s="4" t="s">
        <v>48</v>
      </c>
      <c r="D15" s="8" t="s">
        <v>62</v>
      </c>
      <c r="E15" s="5">
        <v>12.67</v>
      </c>
      <c r="F15" s="23">
        <f>56*12.67</f>
        <v>709.52</v>
      </c>
      <c r="G15" s="8">
        <f>1100.63+290</f>
        <v>1390.63</v>
      </c>
      <c r="H15" s="8">
        <v>525</v>
      </c>
      <c r="I15" s="23"/>
      <c r="J15" s="8">
        <v>997.36</v>
      </c>
      <c r="K15" s="24"/>
    </row>
    <row r="16" spans="1:11" ht="15" customHeight="1" x14ac:dyDescent="0.25">
      <c r="A16" s="3">
        <f t="shared" si="0"/>
        <v>10065</v>
      </c>
      <c r="B16" s="4" t="s">
        <v>24</v>
      </c>
      <c r="C16" s="4" t="s">
        <v>48</v>
      </c>
      <c r="D16" s="8" t="s">
        <v>63</v>
      </c>
      <c r="E16" s="5">
        <v>32</v>
      </c>
      <c r="F16" s="23">
        <f>4.6*32</f>
        <v>147.19999999999999</v>
      </c>
      <c r="G16" s="8">
        <v>169.32</v>
      </c>
      <c r="H16" s="8">
        <v>151</v>
      </c>
      <c r="I16" s="23"/>
      <c r="J16" s="8">
        <v>169.69</v>
      </c>
      <c r="K16" s="24"/>
    </row>
    <row r="17" spans="1:11" ht="15" customHeight="1" x14ac:dyDescent="0.25">
      <c r="A17" s="3">
        <f t="shared" si="0"/>
        <v>10066</v>
      </c>
      <c r="B17" s="4" t="s">
        <v>25</v>
      </c>
      <c r="C17" s="4" t="s">
        <v>48</v>
      </c>
      <c r="D17" s="8" t="s">
        <v>64</v>
      </c>
      <c r="E17" s="5">
        <v>12</v>
      </c>
      <c r="F17" s="23">
        <f>3.5*12</f>
        <v>42</v>
      </c>
      <c r="G17" s="8">
        <v>56</v>
      </c>
      <c r="H17" s="8">
        <v>15</v>
      </c>
      <c r="I17" s="23"/>
      <c r="J17" s="8">
        <v>21.59</v>
      </c>
      <c r="K17" s="24"/>
    </row>
    <row r="18" spans="1:11" ht="15" customHeight="1" x14ac:dyDescent="0.25">
      <c r="A18" s="3">
        <f t="shared" si="0"/>
        <v>10067</v>
      </c>
      <c r="B18" s="4" t="s">
        <v>26</v>
      </c>
      <c r="C18" s="4" t="s">
        <v>48</v>
      </c>
      <c r="D18" s="8" t="s">
        <v>65</v>
      </c>
      <c r="E18" s="5">
        <v>8</v>
      </c>
      <c r="F18" s="23">
        <f>5.01*8</f>
        <v>40.08</v>
      </c>
      <c r="G18" s="8">
        <v>56.54</v>
      </c>
      <c r="H18" s="8">
        <v>62</v>
      </c>
      <c r="I18" s="23"/>
      <c r="J18" s="8">
        <v>75.5</v>
      </c>
      <c r="K18" s="24"/>
    </row>
    <row r="19" spans="1:11" ht="15" customHeight="1" x14ac:dyDescent="0.25">
      <c r="A19" s="3">
        <f t="shared" si="0"/>
        <v>10068</v>
      </c>
      <c r="B19" s="4" t="s">
        <v>27</v>
      </c>
      <c r="C19" s="4" t="s">
        <v>48</v>
      </c>
      <c r="D19" s="8" t="s">
        <v>66</v>
      </c>
      <c r="E19" s="5">
        <v>11</v>
      </c>
      <c r="F19" s="23">
        <f>2.5*11</f>
        <v>27.5</v>
      </c>
      <c r="G19" s="8">
        <v>31</v>
      </c>
      <c r="H19" s="8">
        <v>17</v>
      </c>
      <c r="I19" s="23"/>
      <c r="J19" s="8">
        <v>19.690000000000001</v>
      </c>
      <c r="K19" s="24"/>
    </row>
    <row r="20" spans="1:11" ht="15" customHeight="1" x14ac:dyDescent="0.25">
      <c r="A20" s="3">
        <f t="shared" si="0"/>
        <v>10069</v>
      </c>
      <c r="B20" s="4" t="s">
        <v>28</v>
      </c>
      <c r="C20" s="4" t="s">
        <v>48</v>
      </c>
      <c r="D20" s="8" t="s">
        <v>67</v>
      </c>
      <c r="E20" s="5">
        <v>2.65</v>
      </c>
      <c r="F20" s="23">
        <f>100*2.65</f>
        <v>265</v>
      </c>
      <c r="G20" s="8">
        <v>396</v>
      </c>
      <c r="H20" s="8">
        <v>156</v>
      </c>
      <c r="I20" s="23"/>
      <c r="J20" s="8">
        <v>278</v>
      </c>
      <c r="K20" s="24"/>
    </row>
    <row r="21" spans="1:11" ht="15" customHeight="1" x14ac:dyDescent="0.25">
      <c r="A21" s="3">
        <f t="shared" si="0"/>
        <v>10070</v>
      </c>
      <c r="B21" s="4" t="s">
        <v>29</v>
      </c>
      <c r="C21" s="4" t="s">
        <v>49</v>
      </c>
      <c r="D21" s="8" t="s">
        <v>68</v>
      </c>
      <c r="E21" s="5">
        <v>14</v>
      </c>
      <c r="F21" s="23">
        <f>2*14</f>
        <v>28</v>
      </c>
      <c r="G21" s="8">
        <v>39</v>
      </c>
      <c r="H21" s="8">
        <v>158</v>
      </c>
      <c r="I21" s="23"/>
      <c r="J21" s="8">
        <v>175.36</v>
      </c>
      <c r="K21" s="24"/>
    </row>
    <row r="22" spans="1:11" ht="15" customHeight="1" x14ac:dyDescent="0.25">
      <c r="A22" s="3">
        <f t="shared" si="0"/>
        <v>10071</v>
      </c>
      <c r="B22" s="4" t="s">
        <v>30</v>
      </c>
      <c r="C22" s="4" t="s">
        <v>49</v>
      </c>
      <c r="D22" s="8" t="s">
        <v>68</v>
      </c>
      <c r="E22" s="5">
        <v>9</v>
      </c>
      <c r="F22" s="23">
        <f>2*9</f>
        <v>18</v>
      </c>
      <c r="G22" s="8">
        <v>26.95</v>
      </c>
      <c r="H22" s="8">
        <v>5</v>
      </c>
      <c r="I22" s="23"/>
      <c r="J22" s="8">
        <v>14.25</v>
      </c>
      <c r="K22" s="24"/>
    </row>
    <row r="23" spans="1:11" ht="15" customHeight="1" x14ac:dyDescent="0.25">
      <c r="A23" s="3">
        <f t="shared" si="0"/>
        <v>10072</v>
      </c>
      <c r="B23" s="4" t="s">
        <v>31</v>
      </c>
      <c r="C23" s="4" t="s">
        <v>49</v>
      </c>
      <c r="D23" s="8" t="s">
        <v>69</v>
      </c>
      <c r="E23" s="5">
        <v>3</v>
      </c>
      <c r="F23" s="23">
        <f>1.75*3</f>
        <v>5.25</v>
      </c>
      <c r="G23" s="8">
        <v>6.96</v>
      </c>
      <c r="H23" s="8">
        <v>2</v>
      </c>
      <c r="I23" s="23"/>
      <c r="J23" s="8">
        <v>6.25</v>
      </c>
      <c r="K23" s="24"/>
    </row>
    <row r="24" spans="1:11" ht="15" customHeight="1" x14ac:dyDescent="0.25">
      <c r="A24" s="3">
        <f t="shared" si="0"/>
        <v>10073</v>
      </c>
      <c r="B24" s="4" t="s">
        <v>32</v>
      </c>
      <c r="C24" s="4" t="s">
        <v>49</v>
      </c>
      <c r="D24" s="8" t="s">
        <v>70</v>
      </c>
      <c r="E24" s="5">
        <v>1.1000000000000001</v>
      </c>
      <c r="F24" s="23">
        <f>50.45*1.1</f>
        <v>55.495000000000005</v>
      </c>
      <c r="G24" s="8">
        <v>75.650000000000006</v>
      </c>
      <c r="H24" s="8">
        <v>20</v>
      </c>
      <c r="I24" s="23"/>
      <c r="J24" s="8">
        <v>40.1</v>
      </c>
      <c r="K24" s="24"/>
    </row>
    <row r="25" spans="1:11" ht="15" customHeight="1" x14ac:dyDescent="0.25">
      <c r="A25" s="3">
        <f t="shared" si="0"/>
        <v>10074</v>
      </c>
      <c r="B25" s="4" t="s">
        <v>33</v>
      </c>
      <c r="C25" s="4" t="s">
        <v>49</v>
      </c>
      <c r="D25" s="8" t="s">
        <v>6</v>
      </c>
      <c r="E25" s="5">
        <v>7.2</v>
      </c>
      <c r="F25" s="23">
        <f>10*7.2</f>
        <v>72</v>
      </c>
      <c r="G25" s="8">
        <v>85</v>
      </c>
      <c r="H25" s="8">
        <v>25</v>
      </c>
      <c r="I25" s="23"/>
      <c r="J25" s="8">
        <v>37.9</v>
      </c>
      <c r="K25" s="24"/>
    </row>
    <row r="26" spans="1:11" ht="15" customHeight="1" x14ac:dyDescent="0.25">
      <c r="A26" s="3">
        <f t="shared" si="0"/>
        <v>10075</v>
      </c>
      <c r="B26" s="4" t="s">
        <v>34</v>
      </c>
      <c r="C26" s="4" t="s">
        <v>49</v>
      </c>
      <c r="D26" s="8" t="s">
        <v>71</v>
      </c>
      <c r="E26" s="5">
        <v>3.2</v>
      </c>
      <c r="F26" s="23">
        <f>9.76*3.2</f>
        <v>31.231999999999999</v>
      </c>
      <c r="G26" s="8">
        <v>45.65</v>
      </c>
      <c r="H26" s="8">
        <v>20.149999999999999</v>
      </c>
      <c r="I26" s="23"/>
      <c r="J26" s="8">
        <v>34.1</v>
      </c>
      <c r="K26" s="24"/>
    </row>
    <row r="27" spans="1:11" ht="15" customHeight="1" x14ac:dyDescent="0.25">
      <c r="A27" s="3">
        <f t="shared" si="0"/>
        <v>10076</v>
      </c>
      <c r="B27" s="4" t="s">
        <v>35</v>
      </c>
      <c r="C27" s="4" t="s">
        <v>49</v>
      </c>
      <c r="D27" s="8" t="s">
        <v>72</v>
      </c>
      <c r="E27" s="5">
        <v>6</v>
      </c>
      <c r="F27" s="23">
        <f>4.5*6</f>
        <v>27</v>
      </c>
      <c r="G27" s="8">
        <f>4.5*12</f>
        <v>54</v>
      </c>
      <c r="H27" s="8">
        <v>23</v>
      </c>
      <c r="I27" s="23"/>
      <c r="J27" s="8">
        <v>49.98</v>
      </c>
      <c r="K27" s="24"/>
    </row>
    <row r="28" spans="1:11" ht="15" customHeight="1" x14ac:dyDescent="0.25">
      <c r="A28" s="3">
        <f t="shared" si="0"/>
        <v>10077</v>
      </c>
      <c r="B28" s="4" t="s">
        <v>36</v>
      </c>
      <c r="C28" s="4" t="s">
        <v>50</v>
      </c>
      <c r="D28" s="8" t="s">
        <v>73</v>
      </c>
      <c r="E28" s="5">
        <v>2.33</v>
      </c>
      <c r="F28" s="23">
        <f>15*2.33</f>
        <v>34.950000000000003</v>
      </c>
      <c r="G28" s="8">
        <v>56.98</v>
      </c>
      <c r="H28" s="8">
        <v>24</v>
      </c>
      <c r="I28" s="23"/>
      <c r="J28" s="8">
        <v>45</v>
      </c>
      <c r="K28" s="24"/>
    </row>
    <row r="29" spans="1:11" ht="15" customHeight="1" x14ac:dyDescent="0.25">
      <c r="A29" s="3">
        <f t="shared" si="0"/>
        <v>10078</v>
      </c>
      <c r="B29" s="4" t="s">
        <v>37</v>
      </c>
      <c r="C29" s="4" t="s">
        <v>50</v>
      </c>
      <c r="D29" s="8" t="s">
        <v>74</v>
      </c>
      <c r="E29" s="5">
        <v>1.75</v>
      </c>
      <c r="F29" s="23">
        <f>12.5*1.75</f>
        <v>21.875</v>
      </c>
      <c r="G29" s="8">
        <v>59.6</v>
      </c>
      <c r="H29" s="8">
        <v>21</v>
      </c>
      <c r="I29" s="23"/>
      <c r="J29" s="8">
        <v>56.36</v>
      </c>
      <c r="K29" s="24"/>
    </row>
    <row r="30" spans="1:11" ht="15" customHeight="1" x14ac:dyDescent="0.25">
      <c r="A30" s="3">
        <f t="shared" si="0"/>
        <v>10079</v>
      </c>
      <c r="B30" s="4" t="s">
        <v>38</v>
      </c>
      <c r="C30" s="4" t="s">
        <v>50</v>
      </c>
      <c r="D30" s="8" t="s">
        <v>75</v>
      </c>
      <c r="E30" s="5">
        <v>1.78</v>
      </c>
      <c r="F30" s="23">
        <f>17*1.78</f>
        <v>30.26</v>
      </c>
      <c r="G30" s="8">
        <v>45.95</v>
      </c>
      <c r="H30" s="8">
        <v>27</v>
      </c>
      <c r="I30" s="23"/>
      <c r="J30" s="8">
        <v>41.98</v>
      </c>
      <c r="K30" s="24"/>
    </row>
    <row r="31" spans="1:11" ht="15" customHeight="1" x14ac:dyDescent="0.25">
      <c r="A31" s="3">
        <f t="shared" si="0"/>
        <v>10080</v>
      </c>
      <c r="B31" s="4" t="s">
        <v>39</v>
      </c>
      <c r="C31" s="4" t="s">
        <v>50</v>
      </c>
      <c r="D31" s="8" t="s">
        <v>76</v>
      </c>
      <c r="E31" s="5">
        <v>1.56</v>
      </c>
      <c r="F31" s="23">
        <f>45.98*1.56</f>
        <v>71.728799999999993</v>
      </c>
      <c r="G31" s="8">
        <v>106.65</v>
      </c>
      <c r="H31" s="8">
        <v>10</v>
      </c>
      <c r="I31" s="23"/>
      <c r="J31" s="8">
        <v>43.25</v>
      </c>
      <c r="K31" s="24"/>
    </row>
    <row r="32" spans="1:11" ht="15" customHeight="1" x14ac:dyDescent="0.25">
      <c r="A32" s="3">
        <f t="shared" si="0"/>
        <v>10081</v>
      </c>
      <c r="B32" s="4" t="s">
        <v>40</v>
      </c>
      <c r="C32" s="4" t="s">
        <v>50</v>
      </c>
      <c r="D32" s="8" t="s">
        <v>76</v>
      </c>
      <c r="E32" s="5">
        <v>0.9</v>
      </c>
      <c r="F32" s="23">
        <f>45.98*0.9</f>
        <v>41.381999999999998</v>
      </c>
      <c r="G32" s="8">
        <v>69.36</v>
      </c>
      <c r="H32" s="8">
        <v>30</v>
      </c>
      <c r="I32" s="23"/>
      <c r="J32" s="8">
        <v>57.01</v>
      </c>
      <c r="K32" s="24"/>
    </row>
    <row r="33" spans="1:11" ht="15" customHeight="1" x14ac:dyDescent="0.25">
      <c r="A33" s="3">
        <f t="shared" si="0"/>
        <v>10082</v>
      </c>
      <c r="B33" s="4" t="s">
        <v>41</v>
      </c>
      <c r="C33" s="4" t="s">
        <v>9</v>
      </c>
      <c r="D33" s="8" t="s">
        <v>77</v>
      </c>
      <c r="E33" s="5">
        <v>6.1</v>
      </c>
      <c r="F33" s="23">
        <f>5.56*6.1</f>
        <v>33.915999999999997</v>
      </c>
      <c r="G33" s="8">
        <v>56.2</v>
      </c>
      <c r="H33" s="8">
        <v>14</v>
      </c>
      <c r="I33" s="23"/>
      <c r="J33" s="8">
        <v>36.96</v>
      </c>
      <c r="K33" s="24"/>
    </row>
    <row r="34" spans="1:11" ht="15" customHeight="1" x14ac:dyDescent="0.25">
      <c r="A34" s="3">
        <f t="shared" si="0"/>
        <v>10083</v>
      </c>
      <c r="B34" s="4" t="s">
        <v>42</v>
      </c>
      <c r="C34" s="4" t="s">
        <v>9</v>
      </c>
      <c r="D34" s="8" t="s">
        <v>78</v>
      </c>
      <c r="E34" s="5">
        <v>2.15</v>
      </c>
      <c r="F34" s="23">
        <f>5.43*2.15</f>
        <v>11.674499999999998</v>
      </c>
      <c r="G34" s="8">
        <v>27.89</v>
      </c>
      <c r="H34" s="8">
        <v>17</v>
      </c>
      <c r="I34" s="23"/>
      <c r="J34" s="8">
        <v>32.659999999999997</v>
      </c>
      <c r="K34" s="24"/>
    </row>
    <row r="35" spans="1:11" ht="15" customHeight="1" x14ac:dyDescent="0.25">
      <c r="A35" s="3">
        <f t="shared" si="0"/>
        <v>10084</v>
      </c>
      <c r="B35" s="4" t="s">
        <v>43</v>
      </c>
      <c r="C35" s="4" t="s">
        <v>51</v>
      </c>
      <c r="D35" s="8" t="s">
        <v>79</v>
      </c>
      <c r="E35" s="5">
        <v>1.6</v>
      </c>
      <c r="F35" s="23">
        <f>3.76*1.6</f>
        <v>6.016</v>
      </c>
      <c r="G35" s="8">
        <v>9.9499999999999993</v>
      </c>
      <c r="H35" s="8">
        <v>12</v>
      </c>
      <c r="I35" s="23"/>
      <c r="J35" s="8">
        <v>15.21</v>
      </c>
      <c r="K35" s="24"/>
    </row>
    <row r="36" spans="1:11" ht="15" customHeight="1" x14ac:dyDescent="0.25">
      <c r="A36" s="3">
        <f t="shared" si="0"/>
        <v>10085</v>
      </c>
      <c r="B36" s="4" t="s">
        <v>44</v>
      </c>
      <c r="C36" s="4" t="s">
        <v>51</v>
      </c>
      <c r="D36" s="8" t="s">
        <v>80</v>
      </c>
      <c r="E36" s="5">
        <v>2.11</v>
      </c>
      <c r="F36" s="23">
        <f>3.21*2.11</f>
        <v>6.7730999999999995</v>
      </c>
      <c r="G36" s="8">
        <v>12.6</v>
      </c>
      <c r="H36" s="8">
        <v>12</v>
      </c>
      <c r="I36" s="23"/>
      <c r="J36" s="8">
        <v>16.98</v>
      </c>
      <c r="K36" s="24"/>
    </row>
    <row r="37" spans="1:11" ht="15" customHeight="1" x14ac:dyDescent="0.25">
      <c r="A37" s="3">
        <f t="shared" si="0"/>
        <v>10086</v>
      </c>
      <c r="B37" s="4" t="s">
        <v>45</v>
      </c>
      <c r="C37" s="4" t="s">
        <v>51</v>
      </c>
      <c r="D37" s="8" t="s">
        <v>81</v>
      </c>
      <c r="E37" s="5">
        <v>1.99</v>
      </c>
      <c r="F37" s="23">
        <f>3.78*1.99</f>
        <v>7.5221999999999998</v>
      </c>
      <c r="G37" s="8">
        <v>15.66</v>
      </c>
      <c r="H37" s="8">
        <v>12</v>
      </c>
      <c r="I37" s="23"/>
      <c r="J37" s="8">
        <v>19.62</v>
      </c>
      <c r="K37" s="24"/>
    </row>
    <row r="38" spans="1:11" ht="15" customHeight="1" x14ac:dyDescent="0.25">
      <c r="A38" s="3">
        <f t="shared" si="0"/>
        <v>10087</v>
      </c>
      <c r="B38" s="4" t="s">
        <v>46</v>
      </c>
      <c r="C38" s="4" t="s">
        <v>52</v>
      </c>
      <c r="D38" s="8" t="s">
        <v>82</v>
      </c>
      <c r="E38" s="5">
        <v>2.5</v>
      </c>
      <c r="F38" s="23">
        <f>57.08*2.5</f>
        <v>142.69999999999999</v>
      </c>
      <c r="G38" s="8">
        <v>250.66</v>
      </c>
      <c r="H38" s="8">
        <v>10</v>
      </c>
      <c r="I38" s="23"/>
      <c r="J38" s="8">
        <v>116.25</v>
      </c>
      <c r="K38" s="24"/>
    </row>
    <row r="39" spans="1:11" ht="15" customHeight="1" x14ac:dyDescent="0.25">
      <c r="A39" s="3">
        <f t="shared" si="0"/>
        <v>10088</v>
      </c>
      <c r="B39" s="4" t="s">
        <v>47</v>
      </c>
      <c r="C39" s="4" t="s">
        <v>52</v>
      </c>
      <c r="D39" s="8" t="s">
        <v>83</v>
      </c>
      <c r="E39" s="5">
        <v>6.3</v>
      </c>
      <c r="F39" s="23">
        <f>34.76*6.3</f>
        <v>218.98799999999997</v>
      </c>
      <c r="G39" s="8">
        <v>268.33</v>
      </c>
      <c r="H39" s="8">
        <v>10.15</v>
      </c>
      <c r="I39" s="23"/>
      <c r="J39" s="8">
        <v>58.32</v>
      </c>
      <c r="K39" s="24"/>
    </row>
    <row r="40" spans="1:11" ht="15" customHeight="1" x14ac:dyDescent="0.25">
      <c r="A40" s="3">
        <f t="shared" si="0"/>
        <v>10089</v>
      </c>
      <c r="B40" s="4" t="s">
        <v>84</v>
      </c>
      <c r="C40" s="4" t="s">
        <v>52</v>
      </c>
      <c r="D40" s="8" t="s">
        <v>85</v>
      </c>
      <c r="E40" s="5">
        <v>2.65</v>
      </c>
      <c r="F40" s="23">
        <f>45.32*2.65</f>
        <v>120.098</v>
      </c>
      <c r="G40" s="8">
        <v>210.3</v>
      </c>
      <c r="H40" s="8">
        <v>12</v>
      </c>
      <c r="I40" s="23"/>
      <c r="J40" s="8">
        <v>101.26</v>
      </c>
      <c r="K40" s="24"/>
    </row>
    <row r="41" spans="1:11" ht="15" customHeight="1" x14ac:dyDescent="0.25">
      <c r="A41" s="3" t="s">
        <v>89</v>
      </c>
      <c r="B41" s="4"/>
      <c r="C41" s="4"/>
      <c r="D41" s="8"/>
      <c r="E41" s="5" t="s">
        <v>152</v>
      </c>
      <c r="F41" s="23">
        <f>SUM(F3:F40)</f>
        <v>3452.7372999999993</v>
      </c>
      <c r="G41" s="8">
        <f>SUM(G3:G40)</f>
        <v>5049.7199999999993</v>
      </c>
      <c r="H41" s="8">
        <f>SUM(H3:H40)</f>
        <v>1674.3000000000002</v>
      </c>
      <c r="I41" s="23"/>
      <c r="J41" s="8">
        <f>SUM(J3:J40)</f>
        <v>3042.7300000000005</v>
      </c>
      <c r="K41" s="24"/>
    </row>
    <row r="42" spans="1:11" ht="15" customHeight="1" x14ac:dyDescent="0.25">
      <c r="A42" s="3"/>
      <c r="B42" s="4"/>
      <c r="C42" s="4"/>
      <c r="D42" s="8"/>
      <c r="E42" s="5"/>
      <c r="F42" s="8"/>
      <c r="G42" s="5"/>
      <c r="H42" s="5"/>
      <c r="I42" s="5"/>
      <c r="J42" s="5"/>
      <c r="K42" s="3"/>
    </row>
    <row r="43" spans="1:11" ht="15" customHeight="1" x14ac:dyDescent="0.25">
      <c r="A43" s="3"/>
      <c r="B43" s="4"/>
      <c r="C43" s="4"/>
      <c r="D43" s="8"/>
      <c r="E43" s="5"/>
      <c r="F43" s="8"/>
      <c r="G43" s="5"/>
      <c r="H43" s="5"/>
      <c r="I43" s="5"/>
      <c r="J43" s="5"/>
      <c r="K43" s="3"/>
    </row>
    <row r="44" spans="1:11" ht="15" customHeight="1" x14ac:dyDescent="0.25">
      <c r="A44" s="3"/>
      <c r="B44" s="4"/>
      <c r="C44" s="4"/>
      <c r="D44" s="8"/>
      <c r="E44" s="5"/>
      <c r="F44" s="8"/>
      <c r="G44" s="5"/>
      <c r="H44" s="5"/>
      <c r="I44" s="5"/>
      <c r="J44" s="5"/>
      <c r="K44" s="3"/>
    </row>
    <row r="45" spans="1:11" ht="15" customHeight="1" x14ac:dyDescent="0.25">
      <c r="A45" s="3"/>
      <c r="B45" s="4"/>
      <c r="C45" s="4"/>
      <c r="D45" s="8"/>
      <c r="E45" s="5"/>
      <c r="F45" s="8"/>
      <c r="G45" s="5"/>
      <c r="H45" s="5"/>
      <c r="I45" s="5"/>
      <c r="J45" s="5"/>
      <c r="K45" s="3"/>
    </row>
    <row r="46" spans="1:11" ht="15" customHeight="1" x14ac:dyDescent="0.25">
      <c r="A46" s="3"/>
      <c r="B46" s="4"/>
      <c r="C46" s="4"/>
      <c r="D46" s="8"/>
      <c r="E46" s="5"/>
      <c r="F46" s="8"/>
      <c r="G46" s="5"/>
      <c r="H46" s="5"/>
      <c r="I46" s="5"/>
      <c r="J46" s="5"/>
      <c r="K46" s="3"/>
    </row>
  </sheetData>
  <mergeCells count="1">
    <mergeCell ref="A1:K1"/>
  </mergeCells>
  <phoneticPr fontId="0" type="noConversion"/>
  <printOptions horizontalCentered="1"/>
  <pageMargins left="0.71" right="0.71" top="0.71" bottom="0.71" header="0.5" footer="0.5"/>
  <pageSetup scale="71" fitToHeight="0" orientation="landscape" r:id="rId1"/>
  <headerFooter alignWithMargins="0">
    <oddFooter>&amp;LInventory List&amp;R&amp;D</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3"/>
  <sheetViews>
    <sheetView workbookViewId="0">
      <selection activeCell="J4" sqref="J4"/>
    </sheetView>
  </sheetViews>
  <sheetFormatPr defaultRowHeight="12.5" x14ac:dyDescent="0.25"/>
  <cols>
    <col min="1" max="1" width="37.1796875" customWidth="1"/>
    <col min="2" max="2" width="14.7265625" customWidth="1"/>
    <col min="3" max="3" width="15.1796875" customWidth="1"/>
    <col min="4" max="4" width="11" customWidth="1"/>
    <col min="5" max="5" width="10.81640625" customWidth="1"/>
    <col min="6" max="6" width="13.7265625" customWidth="1"/>
    <col min="8" max="8" width="13.54296875" customWidth="1"/>
    <col min="9" max="9" width="15.453125" bestFit="1" customWidth="1"/>
    <col min="10" max="10" width="13.1796875" customWidth="1"/>
    <col min="11" max="11" width="11.1796875" customWidth="1"/>
  </cols>
  <sheetData>
    <row r="1" spans="1:11" ht="18" customHeight="1" x14ac:dyDescent="0.25">
      <c r="A1" s="47" t="s">
        <v>91</v>
      </c>
      <c r="B1" s="48"/>
      <c r="C1" s="48"/>
      <c r="D1" s="48"/>
      <c r="E1" s="48"/>
      <c r="F1" s="48"/>
      <c r="G1" s="48"/>
      <c r="H1" s="48"/>
      <c r="I1" s="48"/>
      <c r="J1" s="48"/>
      <c r="K1" s="48"/>
    </row>
    <row r="2" spans="1:11" ht="18" customHeight="1" x14ac:dyDescent="0.25">
      <c r="A2" s="47" t="s">
        <v>92</v>
      </c>
      <c r="B2" s="48"/>
      <c r="C2" s="48"/>
      <c r="D2" s="48"/>
      <c r="E2" s="48"/>
      <c r="F2" s="48"/>
      <c r="G2" s="48"/>
      <c r="H2" s="48"/>
      <c r="I2" s="48"/>
      <c r="J2" s="48"/>
      <c r="K2" s="48"/>
    </row>
    <row r="3" spans="1:11" ht="14" x14ac:dyDescent="0.3">
      <c r="A3" s="13" t="s">
        <v>93</v>
      </c>
      <c r="B3" s="19" t="s">
        <v>114</v>
      </c>
      <c r="C3" s="19" t="s">
        <v>115</v>
      </c>
      <c r="D3" s="19" t="s">
        <v>116</v>
      </c>
      <c r="E3" s="19" t="s">
        <v>117</v>
      </c>
      <c r="F3" s="19" t="s">
        <v>118</v>
      </c>
      <c r="G3" s="19" t="s">
        <v>119</v>
      </c>
      <c r="H3" s="19" t="s">
        <v>120</v>
      </c>
      <c r="I3" s="19" t="s">
        <v>121</v>
      </c>
      <c r="J3" s="19" t="s">
        <v>122</v>
      </c>
      <c r="K3" s="19" t="s">
        <v>123</v>
      </c>
    </row>
    <row r="4" spans="1:11" x14ac:dyDescent="0.25">
      <c r="A4" s="14" t="s">
        <v>94</v>
      </c>
      <c r="B4" s="17">
        <v>5569</v>
      </c>
      <c r="C4" s="18">
        <f>B4/B6</f>
        <v>0.70368966388678289</v>
      </c>
      <c r="D4" s="20">
        <v>5698</v>
      </c>
      <c r="E4" s="11">
        <f>D4/D6</f>
        <v>0.70642201834862384</v>
      </c>
      <c r="F4" s="12">
        <v>5236</v>
      </c>
      <c r="G4" s="11">
        <f>F4/F6</f>
        <v>0.71131639722863738</v>
      </c>
      <c r="H4" s="12">
        <v>9963</v>
      </c>
      <c r="I4" s="11">
        <f>H4/H6</f>
        <v>0.78964888642307995</v>
      </c>
      <c r="J4" s="21"/>
      <c r="K4" s="22"/>
    </row>
    <row r="5" spans="1:11" x14ac:dyDescent="0.25">
      <c r="A5" s="14" t="s">
        <v>95</v>
      </c>
      <c r="B5" s="17">
        <v>2345</v>
      </c>
      <c r="C5" s="18">
        <f>B5/B6</f>
        <v>0.29631033611321711</v>
      </c>
      <c r="D5" s="17">
        <v>2368</v>
      </c>
      <c r="E5" s="11">
        <f>D5/D6</f>
        <v>0.29357798165137616</v>
      </c>
      <c r="F5" s="12">
        <v>2125</v>
      </c>
      <c r="G5" s="11">
        <f>F5/F6</f>
        <v>0.28868360277136257</v>
      </c>
      <c r="H5" s="12">
        <v>2654</v>
      </c>
      <c r="I5" s="11">
        <f>H5/H6</f>
        <v>0.21035111357692002</v>
      </c>
      <c r="J5" s="21"/>
      <c r="K5" s="22"/>
    </row>
    <row r="6" spans="1:11" x14ac:dyDescent="0.25">
      <c r="A6" s="14" t="s">
        <v>96</v>
      </c>
      <c r="B6" s="17">
        <f>SUM(B4:B5)</f>
        <v>7914</v>
      </c>
      <c r="C6" s="18">
        <v>1</v>
      </c>
      <c r="D6" s="17">
        <f>SUM(D4:D5)</f>
        <v>8066</v>
      </c>
      <c r="E6" s="11">
        <v>1</v>
      </c>
      <c r="F6" s="12">
        <f>SUM(F4:F5)</f>
        <v>7361</v>
      </c>
      <c r="G6" s="11">
        <v>1</v>
      </c>
      <c r="H6" s="12">
        <f>SUM(H4:H5)</f>
        <v>12617</v>
      </c>
      <c r="I6" s="11">
        <v>1</v>
      </c>
      <c r="J6" s="21"/>
      <c r="K6" s="22"/>
    </row>
    <row r="7" spans="1:11" ht="14" x14ac:dyDescent="0.3">
      <c r="A7" s="13" t="s">
        <v>97</v>
      </c>
      <c r="B7" s="17"/>
      <c r="C7" s="18"/>
      <c r="D7" s="17"/>
      <c r="E7" s="11"/>
      <c r="F7" s="12"/>
      <c r="G7" s="11"/>
      <c r="H7" s="12"/>
      <c r="I7" s="11"/>
      <c r="J7" s="11"/>
      <c r="K7" s="11"/>
    </row>
    <row r="8" spans="1:11" x14ac:dyDescent="0.25">
      <c r="A8" s="14" t="s">
        <v>98</v>
      </c>
      <c r="B8" s="10">
        <v>1789</v>
      </c>
      <c r="C8" s="18">
        <f>B8/B4</f>
        <v>0.3212425929251212</v>
      </c>
      <c r="D8" s="17">
        <v>1698</v>
      </c>
      <c r="E8" s="11">
        <f>D8/D4</f>
        <v>0.29799929799929797</v>
      </c>
      <c r="F8" s="12">
        <v>1562</v>
      </c>
      <c r="G8" s="11">
        <f>F8/F4</f>
        <v>0.29831932773109243</v>
      </c>
      <c r="H8" s="21"/>
      <c r="I8" s="22"/>
      <c r="J8" s="21"/>
      <c r="K8" s="22"/>
    </row>
    <row r="9" spans="1:11" x14ac:dyDescent="0.25">
      <c r="A9" s="14" t="s">
        <v>99</v>
      </c>
      <c r="B9" s="10">
        <v>654</v>
      </c>
      <c r="C9" s="18">
        <f>B9/B5</f>
        <v>0.27889125799573561</v>
      </c>
      <c r="D9" s="17">
        <v>720</v>
      </c>
      <c r="E9" s="11">
        <f>D9/D5</f>
        <v>0.30405405405405406</v>
      </c>
      <c r="F9" s="12">
        <v>695</v>
      </c>
      <c r="G9" s="11">
        <f>F9/F5</f>
        <v>0.32705882352941179</v>
      </c>
      <c r="H9" s="12">
        <v>821</v>
      </c>
      <c r="I9" s="22"/>
      <c r="J9" s="21"/>
      <c r="K9" s="22"/>
    </row>
    <row r="10" spans="1:11" x14ac:dyDescent="0.25">
      <c r="A10" s="14" t="s">
        <v>100</v>
      </c>
      <c r="B10" s="10">
        <f>SUM(B8:B9)</f>
        <v>2443</v>
      </c>
      <c r="C10" s="18">
        <f>B10/B6</f>
        <v>0.30869345463735154</v>
      </c>
      <c r="D10" s="17">
        <f>SUM(D8:D9)</f>
        <v>2418</v>
      </c>
      <c r="E10" s="11">
        <f>D10/D6</f>
        <v>0.29977684106124475</v>
      </c>
      <c r="F10" s="12">
        <f>SUM(F8:F9)</f>
        <v>2257</v>
      </c>
      <c r="G10" s="11">
        <f>F10/F6</f>
        <v>0.30661594891998367</v>
      </c>
      <c r="H10" s="21"/>
      <c r="I10" s="22"/>
      <c r="J10" s="21"/>
      <c r="K10" s="22"/>
    </row>
    <row r="11" spans="1:11" ht="14" x14ac:dyDescent="0.3">
      <c r="A11" s="13" t="s">
        <v>101</v>
      </c>
      <c r="B11" s="10">
        <f>B6-B10</f>
        <v>5471</v>
      </c>
      <c r="C11" s="18">
        <f>B11/B6</f>
        <v>0.69130654536264846</v>
      </c>
      <c r="D11" s="17">
        <f>D6-D10</f>
        <v>5648</v>
      </c>
      <c r="E11" s="11">
        <f>D11/D6</f>
        <v>0.70022315893875531</v>
      </c>
      <c r="F11" s="12">
        <f>F6-F10</f>
        <v>5104</v>
      </c>
      <c r="G11" s="11">
        <f>F11/F6</f>
        <v>0.69338405108001633</v>
      </c>
      <c r="H11" s="21"/>
      <c r="I11" s="22"/>
      <c r="J11" s="21"/>
      <c r="K11" s="22"/>
    </row>
    <row r="12" spans="1:11" ht="14" x14ac:dyDescent="0.3">
      <c r="A12" s="13" t="s">
        <v>102</v>
      </c>
      <c r="B12" s="10"/>
      <c r="C12" s="18"/>
      <c r="D12" s="17"/>
      <c r="E12" s="11"/>
      <c r="F12" s="12"/>
      <c r="G12" s="11"/>
      <c r="H12" s="12"/>
      <c r="I12" s="11"/>
      <c r="J12" s="11"/>
      <c r="K12" s="11"/>
    </row>
    <row r="13" spans="1:11" x14ac:dyDescent="0.25">
      <c r="A13" s="14" t="s">
        <v>103</v>
      </c>
      <c r="B13" s="10">
        <v>2130</v>
      </c>
      <c r="C13" s="18">
        <f>B13/B6</f>
        <v>0.26914329037149354</v>
      </c>
      <c r="D13" s="17">
        <v>2321</v>
      </c>
      <c r="E13" s="11">
        <f>D13/D6</f>
        <v>0.28775105380609967</v>
      </c>
      <c r="F13" s="12">
        <v>2103</v>
      </c>
      <c r="G13" s="11">
        <f>F13/F6</f>
        <v>0.28569487841325908</v>
      </c>
      <c r="H13" s="12">
        <v>4569</v>
      </c>
      <c r="I13" s="22"/>
      <c r="J13" s="21"/>
      <c r="K13" s="22"/>
    </row>
    <row r="14" spans="1:11" x14ac:dyDescent="0.25">
      <c r="A14" s="14" t="s">
        <v>104</v>
      </c>
      <c r="B14" s="10">
        <v>498</v>
      </c>
      <c r="C14" s="18">
        <f>B14/B6</f>
        <v>6.2926459438968921E-2</v>
      </c>
      <c r="D14" s="17">
        <v>520</v>
      </c>
      <c r="E14" s="11">
        <f>D14/D6</f>
        <v>6.4468137862633279E-2</v>
      </c>
      <c r="F14" s="12">
        <v>500</v>
      </c>
      <c r="G14" s="11">
        <f>F14/F6</f>
        <v>6.7925553593261787E-2</v>
      </c>
      <c r="H14" s="12">
        <v>1236</v>
      </c>
      <c r="I14" s="22"/>
      <c r="J14" s="21"/>
      <c r="K14" s="22"/>
    </row>
    <row r="15" spans="1:11" ht="14" x14ac:dyDescent="0.3">
      <c r="A15" s="15" t="s">
        <v>105</v>
      </c>
      <c r="B15" s="10"/>
      <c r="C15" s="18"/>
      <c r="D15" s="17"/>
      <c r="E15" s="11"/>
      <c r="F15" s="12"/>
      <c r="G15" s="11"/>
      <c r="H15" s="12"/>
      <c r="I15" s="11"/>
      <c r="J15" s="11"/>
      <c r="K15" s="11"/>
    </row>
    <row r="16" spans="1:11" x14ac:dyDescent="0.25">
      <c r="A16" s="14" t="s">
        <v>106</v>
      </c>
      <c r="B16" s="10">
        <v>230</v>
      </c>
      <c r="C16" s="18">
        <f>B16/B6</f>
        <v>2.9062421026029822E-2</v>
      </c>
      <c r="D16" s="17">
        <v>100</v>
      </c>
      <c r="E16" s="11">
        <f>D16/D6</f>
        <v>1.2397718819737169E-2</v>
      </c>
      <c r="F16" s="12">
        <v>0</v>
      </c>
      <c r="G16" s="11">
        <f>F16/F6</f>
        <v>0</v>
      </c>
      <c r="H16" s="12">
        <v>100</v>
      </c>
      <c r="I16" s="22"/>
      <c r="J16" s="21"/>
      <c r="K16" s="22"/>
    </row>
    <row r="17" spans="1:11" x14ac:dyDescent="0.25">
      <c r="A17" s="14" t="s">
        <v>107</v>
      </c>
      <c r="B17" s="10">
        <f>SUM(B13:B16)</f>
        <v>2858</v>
      </c>
      <c r="C17" s="18">
        <f>B17/B6</f>
        <v>0.36113217083649229</v>
      </c>
      <c r="D17" s="17">
        <f>SUM(D13:D16)</f>
        <v>2941</v>
      </c>
      <c r="E17" s="11">
        <f>D17/D6</f>
        <v>0.36461691048847011</v>
      </c>
      <c r="F17" s="12">
        <f>SUM(F13:F16)</f>
        <v>2603</v>
      </c>
      <c r="G17" s="11">
        <f>F17/F6</f>
        <v>0.35362043200652088</v>
      </c>
      <c r="H17" s="21"/>
      <c r="I17" s="22"/>
      <c r="J17" s="21"/>
      <c r="K17" s="22"/>
    </row>
    <row r="18" spans="1:11" x14ac:dyDescent="0.25">
      <c r="A18" s="14" t="s">
        <v>108</v>
      </c>
      <c r="B18" s="10">
        <f>B11-B17</f>
        <v>2613</v>
      </c>
      <c r="C18" s="18">
        <f>B18/B6</f>
        <v>0.33017437452615617</v>
      </c>
      <c r="D18" s="17">
        <f>D11-D17</f>
        <v>2707</v>
      </c>
      <c r="E18" s="11">
        <f>D18/D6</f>
        <v>0.33560624845028514</v>
      </c>
      <c r="F18" s="12">
        <f>F11-F17</f>
        <v>2501</v>
      </c>
      <c r="G18" s="11">
        <f>F18/F6</f>
        <v>0.33976361907349545</v>
      </c>
      <c r="H18" s="21"/>
      <c r="I18" s="22"/>
      <c r="J18" s="21"/>
      <c r="K18" s="22"/>
    </row>
    <row r="19" spans="1:11" ht="14" x14ac:dyDescent="0.3">
      <c r="A19" s="13" t="s">
        <v>109</v>
      </c>
      <c r="B19" s="10"/>
      <c r="C19" s="18"/>
      <c r="D19" s="17"/>
      <c r="E19" s="11"/>
      <c r="F19" s="12"/>
      <c r="G19" s="11"/>
      <c r="H19" s="12"/>
      <c r="I19" s="11"/>
      <c r="J19" s="11"/>
      <c r="K19" s="11"/>
    </row>
    <row r="20" spans="1:11" x14ac:dyDescent="0.25">
      <c r="A20" s="14" t="s">
        <v>110</v>
      </c>
      <c r="B20" s="10">
        <f>2000/4</f>
        <v>500</v>
      </c>
      <c r="C20" s="18">
        <f>B20/B6</f>
        <v>6.3179176143543084E-2</v>
      </c>
      <c r="D20" s="17">
        <f>2000/4</f>
        <v>500</v>
      </c>
      <c r="E20" s="11">
        <f>D20/D6</f>
        <v>6.1988594098685845E-2</v>
      </c>
      <c r="F20" s="12">
        <f>2000/4</f>
        <v>500</v>
      </c>
      <c r="G20" s="11">
        <f>F20/F6</f>
        <v>6.7925553593261787E-2</v>
      </c>
      <c r="H20" s="12">
        <f>2000/4</f>
        <v>500</v>
      </c>
      <c r="I20" s="22"/>
      <c r="J20" s="21"/>
      <c r="K20" s="22"/>
    </row>
    <row r="21" spans="1:11" x14ac:dyDescent="0.25">
      <c r="A21" s="14" t="s">
        <v>111</v>
      </c>
      <c r="B21" s="10">
        <v>650</v>
      </c>
      <c r="C21" s="18">
        <f>B21/B6</f>
        <v>8.2132928986606013E-2</v>
      </c>
      <c r="D21" s="17">
        <v>650</v>
      </c>
      <c r="E21" s="11">
        <f>D21/D6</f>
        <v>8.0585172328291599E-2</v>
      </c>
      <c r="F21" s="12">
        <v>650</v>
      </c>
      <c r="G21" s="11">
        <f>F21/F6</f>
        <v>8.8303219671240316E-2</v>
      </c>
      <c r="H21" s="12">
        <v>650</v>
      </c>
      <c r="I21" s="22"/>
      <c r="J21" s="21"/>
      <c r="K21" s="22"/>
    </row>
    <row r="22" spans="1:11" x14ac:dyDescent="0.25">
      <c r="A22" s="14" t="s">
        <v>112</v>
      </c>
      <c r="B22" s="10">
        <v>268</v>
      </c>
      <c r="C22" s="18">
        <f>B22/B6</f>
        <v>3.3864038412939099E-2</v>
      </c>
      <c r="D22" s="17">
        <v>268</v>
      </c>
      <c r="E22" s="11">
        <f>D22/D6</f>
        <v>3.3225886436895613E-2</v>
      </c>
      <c r="F22" s="12">
        <v>268</v>
      </c>
      <c r="G22" s="11">
        <f>F22/F6</f>
        <v>3.6408096725988319E-2</v>
      </c>
      <c r="H22" s="12">
        <v>268</v>
      </c>
      <c r="I22" s="22"/>
      <c r="J22" s="21"/>
      <c r="K22" s="22"/>
    </row>
    <row r="23" spans="1:11" x14ac:dyDescent="0.25">
      <c r="A23" s="16" t="s">
        <v>113</v>
      </c>
      <c r="B23" s="10">
        <f>B18-B20-B21-B22</f>
        <v>1195</v>
      </c>
      <c r="C23" s="18">
        <f>B23/B6</f>
        <v>0.15099823098306797</v>
      </c>
      <c r="D23" s="17">
        <f>D18-D20-D21-D22</f>
        <v>1289</v>
      </c>
      <c r="E23" s="11">
        <f>D23/D6</f>
        <v>0.15980659558641211</v>
      </c>
      <c r="F23" s="12">
        <f>F18-F20-F21-F22</f>
        <v>1083</v>
      </c>
      <c r="G23" s="11">
        <f>F23/F6</f>
        <v>0.14712674908300502</v>
      </c>
      <c r="H23" s="21"/>
      <c r="I23" s="22"/>
      <c r="J23" s="21"/>
      <c r="K23" s="22"/>
    </row>
  </sheetData>
  <mergeCells count="2">
    <mergeCell ref="A2:K2"/>
    <mergeCell ref="A1:K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5"/>
  <sheetViews>
    <sheetView topLeftCell="A13" workbookViewId="0">
      <selection activeCell="B24" sqref="B24:B25"/>
    </sheetView>
  </sheetViews>
  <sheetFormatPr defaultRowHeight="12.5" x14ac:dyDescent="0.25"/>
  <cols>
    <col min="1" max="1" width="25.26953125" customWidth="1"/>
    <col min="3" max="3" width="12.54296875" customWidth="1"/>
    <col min="4" max="4" width="12.7265625" customWidth="1"/>
    <col min="5" max="5" width="11.7265625" customWidth="1"/>
    <col min="6" max="6" width="23.7265625" customWidth="1"/>
    <col min="7" max="7" width="18.1796875" customWidth="1"/>
    <col min="8" max="8" width="13.453125" customWidth="1"/>
    <col min="9" max="9" width="12.26953125" customWidth="1"/>
    <col min="11" max="11" width="11" customWidth="1"/>
  </cols>
  <sheetData>
    <row r="1" spans="1:11" ht="18" hidden="1" x14ac:dyDescent="0.25">
      <c r="A1" s="49" t="s">
        <v>133</v>
      </c>
      <c r="B1" s="50"/>
      <c r="C1" s="50"/>
      <c r="D1" s="50"/>
      <c r="E1" s="50"/>
      <c r="F1" s="50"/>
      <c r="G1" s="50"/>
      <c r="H1" s="50"/>
      <c r="I1" s="50"/>
      <c r="J1" s="50"/>
      <c r="K1" s="50"/>
    </row>
    <row r="2" spans="1:11" ht="13" hidden="1" x14ac:dyDescent="0.3">
      <c r="A2" s="25" t="s">
        <v>124</v>
      </c>
      <c r="B2" s="26"/>
      <c r="C2" s="27" t="s">
        <v>136</v>
      </c>
      <c r="D2" s="27" t="s">
        <v>125</v>
      </c>
      <c r="E2" s="27" t="s">
        <v>126</v>
      </c>
      <c r="F2" s="27" t="s">
        <v>137</v>
      </c>
      <c r="G2" s="26" t="s">
        <v>138</v>
      </c>
      <c r="H2" s="26" t="s">
        <v>139</v>
      </c>
      <c r="I2" s="26" t="s">
        <v>140</v>
      </c>
      <c r="J2" s="51" t="s">
        <v>141</v>
      </c>
      <c r="K2" s="52"/>
    </row>
    <row r="3" spans="1:11" ht="13" hidden="1" x14ac:dyDescent="0.3">
      <c r="A3" s="28" t="s">
        <v>135</v>
      </c>
      <c r="B3" s="29">
        <v>19</v>
      </c>
      <c r="C3" s="30">
        <f>B3/B9</f>
        <v>0.11176470588235295</v>
      </c>
      <c r="D3" s="31">
        <v>12.38</v>
      </c>
      <c r="E3" s="31">
        <v>33</v>
      </c>
      <c r="F3" s="32">
        <f>E3-D3</f>
        <v>20.619999999999997</v>
      </c>
      <c r="G3" s="33">
        <f>F3*B3</f>
        <v>391.78</v>
      </c>
      <c r="H3" s="34" t="s">
        <v>144</v>
      </c>
      <c r="I3" s="34" t="s">
        <v>145</v>
      </c>
      <c r="J3" s="53" t="s">
        <v>149</v>
      </c>
      <c r="K3" s="54"/>
    </row>
    <row r="4" spans="1:11" ht="13" hidden="1" x14ac:dyDescent="0.3">
      <c r="A4" s="28" t="s">
        <v>127</v>
      </c>
      <c r="B4" s="29">
        <v>41</v>
      </c>
      <c r="C4" s="30">
        <f>B4/B9</f>
        <v>0.2411764705882353</v>
      </c>
      <c r="D4" s="31">
        <v>10.78</v>
      </c>
      <c r="E4" s="31">
        <v>31</v>
      </c>
      <c r="F4" s="32">
        <f t="shared" ref="F4:F8" si="0">E4-D4</f>
        <v>20.22</v>
      </c>
      <c r="G4" s="33">
        <f t="shared" ref="G4:G8" si="1">F4*B4</f>
        <v>829.02</v>
      </c>
      <c r="H4" s="34" t="s">
        <v>145</v>
      </c>
      <c r="I4" s="34" t="s">
        <v>145</v>
      </c>
      <c r="J4" s="53" t="s">
        <v>148</v>
      </c>
      <c r="K4" s="54"/>
    </row>
    <row r="5" spans="1:11" ht="13" hidden="1" x14ac:dyDescent="0.3">
      <c r="A5" s="28" t="s">
        <v>134</v>
      </c>
      <c r="B5" s="29">
        <v>49</v>
      </c>
      <c r="C5" s="30">
        <f>B5/170</f>
        <v>0.28823529411764703</v>
      </c>
      <c r="D5" s="31">
        <v>11.2</v>
      </c>
      <c r="E5" s="31">
        <v>35</v>
      </c>
      <c r="F5" s="32">
        <f t="shared" si="0"/>
        <v>23.8</v>
      </c>
      <c r="G5" s="33">
        <f t="shared" si="1"/>
        <v>1166.2</v>
      </c>
      <c r="H5" s="34" t="s">
        <v>145</v>
      </c>
      <c r="I5" s="34" t="s">
        <v>145</v>
      </c>
      <c r="J5" s="53" t="s">
        <v>148</v>
      </c>
      <c r="K5" s="54"/>
    </row>
    <row r="6" spans="1:11" ht="13" hidden="1" x14ac:dyDescent="0.3">
      <c r="A6" s="35" t="s">
        <v>142</v>
      </c>
      <c r="B6" s="29">
        <v>5</v>
      </c>
      <c r="C6" s="30">
        <f>B6/170</f>
        <v>2.9411764705882353E-2</v>
      </c>
      <c r="D6" s="31">
        <v>12.98</v>
      </c>
      <c r="E6" s="31">
        <v>29</v>
      </c>
      <c r="F6" s="32">
        <f t="shared" si="0"/>
        <v>16.02</v>
      </c>
      <c r="G6" s="33">
        <f t="shared" si="1"/>
        <v>80.099999999999994</v>
      </c>
      <c r="H6" s="34" t="s">
        <v>144</v>
      </c>
      <c r="I6" s="34" t="s">
        <v>144</v>
      </c>
      <c r="J6" s="53" t="s">
        <v>147</v>
      </c>
      <c r="K6" s="54"/>
    </row>
    <row r="7" spans="1:11" ht="13" hidden="1" x14ac:dyDescent="0.3">
      <c r="A7" s="36" t="s">
        <v>143</v>
      </c>
      <c r="B7" s="29">
        <v>30</v>
      </c>
      <c r="C7" s="30">
        <f>B7/170</f>
        <v>0.17647058823529413</v>
      </c>
      <c r="D7" s="31">
        <v>9.66</v>
      </c>
      <c r="E7" s="31">
        <v>27</v>
      </c>
      <c r="F7" s="32">
        <f t="shared" si="0"/>
        <v>17.34</v>
      </c>
      <c r="G7" s="33">
        <f t="shared" si="1"/>
        <v>520.20000000000005</v>
      </c>
      <c r="H7" s="34" t="s">
        <v>145</v>
      </c>
      <c r="I7" s="34" t="s">
        <v>144</v>
      </c>
      <c r="J7" s="53" t="s">
        <v>146</v>
      </c>
      <c r="K7" s="54"/>
    </row>
    <row r="8" spans="1:11" ht="13" hidden="1" x14ac:dyDescent="0.3">
      <c r="A8" s="28" t="s">
        <v>28</v>
      </c>
      <c r="B8" s="37">
        <v>26</v>
      </c>
      <c r="C8" s="30">
        <f>B8/170</f>
        <v>0.15294117647058825</v>
      </c>
      <c r="D8" s="31">
        <v>11.48</v>
      </c>
      <c r="E8" s="31">
        <v>30</v>
      </c>
      <c r="F8" s="32">
        <f t="shared" si="0"/>
        <v>18.52</v>
      </c>
      <c r="G8" s="33">
        <f t="shared" si="1"/>
        <v>481.52</v>
      </c>
      <c r="H8" s="34" t="s">
        <v>145</v>
      </c>
      <c r="I8" s="34" t="s">
        <v>144</v>
      </c>
      <c r="J8" s="53" t="s">
        <v>146</v>
      </c>
      <c r="K8" s="54"/>
    </row>
    <row r="9" spans="1:11" hidden="1" x14ac:dyDescent="0.25">
      <c r="A9" s="28" t="s">
        <v>128</v>
      </c>
      <c r="B9" s="38">
        <f>SUM(B3:B8)</f>
        <v>170</v>
      </c>
      <c r="C9" s="39">
        <v>1</v>
      </c>
      <c r="D9" s="40"/>
      <c r="E9" s="40"/>
      <c r="F9" s="33"/>
      <c r="G9" s="33">
        <f>SUM(G3:G8)</f>
        <v>3468.82</v>
      </c>
      <c r="H9" s="38"/>
      <c r="I9" s="38"/>
      <c r="J9" s="53"/>
      <c r="K9" s="54"/>
    </row>
    <row r="10" spans="1:11" hidden="1" x14ac:dyDescent="0.25">
      <c r="A10" s="28" t="s">
        <v>129</v>
      </c>
      <c r="B10" s="41">
        <f>COUNT(B3:B8)</f>
        <v>6</v>
      </c>
      <c r="C10" s="28"/>
      <c r="D10" s="28"/>
      <c r="E10" s="28"/>
      <c r="F10" s="28"/>
      <c r="G10" s="28"/>
      <c r="H10" s="28"/>
      <c r="I10" s="28"/>
      <c r="J10" s="28"/>
      <c r="K10" s="28"/>
    </row>
    <row r="11" spans="1:11" hidden="1" x14ac:dyDescent="0.25">
      <c r="A11" s="28" t="s">
        <v>130</v>
      </c>
      <c r="B11" s="46">
        <f>1/6</f>
        <v>0.16666666666666666</v>
      </c>
      <c r="C11" s="42"/>
      <c r="D11" s="28"/>
      <c r="E11" s="28" t="s">
        <v>131</v>
      </c>
      <c r="F11" s="28"/>
      <c r="G11" s="33">
        <f>G9/B9</f>
        <v>20.404823529411765</v>
      </c>
      <c r="H11" s="28"/>
      <c r="I11" s="28"/>
      <c r="J11" s="28"/>
      <c r="K11" s="28"/>
    </row>
    <row r="12" spans="1:11" ht="25" hidden="1" x14ac:dyDescent="0.25">
      <c r="A12" s="43" t="s">
        <v>132</v>
      </c>
      <c r="B12" s="44">
        <f>B11*0.7</f>
        <v>0.11666666666666665</v>
      </c>
      <c r="C12" s="45"/>
      <c r="D12" s="28"/>
      <c r="E12" s="28"/>
      <c r="F12" s="28"/>
      <c r="G12" s="28"/>
      <c r="H12" s="28"/>
      <c r="I12" s="28"/>
      <c r="J12" s="28"/>
      <c r="K12" s="28"/>
    </row>
    <row r="14" spans="1:11" ht="18" x14ac:dyDescent="0.25">
      <c r="A14" s="49" t="s">
        <v>150</v>
      </c>
      <c r="B14" s="50"/>
      <c r="C14" s="50"/>
      <c r="D14" s="50"/>
      <c r="E14" s="50"/>
      <c r="F14" s="50"/>
      <c r="G14" s="50"/>
      <c r="H14" s="50"/>
      <c r="I14" s="50"/>
      <c r="J14" s="50"/>
      <c r="K14" s="50"/>
    </row>
    <row r="15" spans="1:11" ht="13" x14ac:dyDescent="0.3">
      <c r="A15" s="25" t="s">
        <v>124</v>
      </c>
      <c r="B15" s="26"/>
      <c r="C15" s="27" t="s">
        <v>136</v>
      </c>
      <c r="D15" s="27" t="s">
        <v>125</v>
      </c>
      <c r="E15" s="27" t="s">
        <v>126</v>
      </c>
      <c r="F15" s="27" t="s">
        <v>137</v>
      </c>
      <c r="G15" s="26" t="s">
        <v>138</v>
      </c>
      <c r="H15" s="26" t="s">
        <v>139</v>
      </c>
      <c r="I15" s="26" t="s">
        <v>140</v>
      </c>
      <c r="J15" s="51" t="s">
        <v>141</v>
      </c>
      <c r="K15" s="52"/>
    </row>
    <row r="16" spans="1:11" ht="13" x14ac:dyDescent="0.3">
      <c r="A16" s="28" t="s">
        <v>135</v>
      </c>
      <c r="B16" s="29">
        <v>19</v>
      </c>
      <c r="C16" s="30"/>
      <c r="D16" s="31">
        <v>12.38</v>
      </c>
      <c r="E16" s="31">
        <v>33</v>
      </c>
      <c r="F16" s="32"/>
      <c r="G16" s="33"/>
      <c r="H16" s="34"/>
      <c r="I16" s="34"/>
      <c r="J16" s="53"/>
      <c r="K16" s="54"/>
    </row>
    <row r="17" spans="1:11" ht="13" x14ac:dyDescent="0.3">
      <c r="A17" s="28" t="s">
        <v>127</v>
      </c>
      <c r="B17" s="29">
        <v>41</v>
      </c>
      <c r="C17" s="30"/>
      <c r="D17" s="31">
        <v>10.78</v>
      </c>
      <c r="E17" s="31">
        <v>31</v>
      </c>
      <c r="F17" s="32"/>
      <c r="G17" s="33"/>
      <c r="H17" s="34"/>
      <c r="I17" s="34"/>
      <c r="J17" s="53"/>
      <c r="K17" s="54"/>
    </row>
    <row r="18" spans="1:11" ht="13" x14ac:dyDescent="0.3">
      <c r="A18" s="28" t="s">
        <v>134</v>
      </c>
      <c r="B18" s="29">
        <v>49</v>
      </c>
      <c r="C18" s="30"/>
      <c r="D18" s="31">
        <v>17.46</v>
      </c>
      <c r="E18" s="31">
        <v>35</v>
      </c>
      <c r="F18" s="32"/>
      <c r="G18" s="33"/>
      <c r="H18" s="34"/>
      <c r="I18" s="34"/>
      <c r="J18" s="53"/>
      <c r="K18" s="54"/>
    </row>
    <row r="19" spans="1:11" ht="13" x14ac:dyDescent="0.3">
      <c r="A19" s="35" t="s">
        <v>142</v>
      </c>
      <c r="B19" s="29">
        <v>5</v>
      </c>
      <c r="C19" s="30"/>
      <c r="D19" s="31">
        <v>12.98</v>
      </c>
      <c r="E19" s="31">
        <v>29</v>
      </c>
      <c r="F19" s="32"/>
      <c r="G19" s="33"/>
      <c r="H19" s="34"/>
      <c r="I19" s="34"/>
      <c r="J19" s="53"/>
      <c r="K19" s="54"/>
    </row>
    <row r="20" spans="1:11" ht="13" x14ac:dyDescent="0.3">
      <c r="A20" s="36" t="s">
        <v>143</v>
      </c>
      <c r="B20" s="29">
        <v>30</v>
      </c>
      <c r="C20" s="30"/>
      <c r="D20" s="31">
        <v>9.66</v>
      </c>
      <c r="E20" s="31">
        <v>27</v>
      </c>
      <c r="F20" s="32"/>
      <c r="G20" s="33"/>
      <c r="H20" s="34"/>
      <c r="I20" s="34"/>
      <c r="J20" s="53"/>
      <c r="K20" s="54"/>
    </row>
    <row r="21" spans="1:11" ht="13" x14ac:dyDescent="0.3">
      <c r="A21" s="28" t="s">
        <v>28</v>
      </c>
      <c r="B21" s="37">
        <v>26</v>
      </c>
      <c r="C21" s="30"/>
      <c r="D21" s="31">
        <v>11.48</v>
      </c>
      <c r="E21" s="31">
        <v>30</v>
      </c>
      <c r="F21" s="32"/>
      <c r="G21" s="33"/>
      <c r="H21" s="34"/>
      <c r="I21" s="34"/>
      <c r="J21" s="53"/>
      <c r="K21" s="54"/>
    </row>
    <row r="22" spans="1:11" x14ac:dyDescent="0.25">
      <c r="A22" s="28" t="s">
        <v>128</v>
      </c>
      <c r="B22" s="38"/>
      <c r="C22" s="39">
        <v>1</v>
      </c>
      <c r="D22" s="40"/>
      <c r="E22" s="40"/>
      <c r="F22" s="33"/>
      <c r="G22" s="33"/>
      <c r="H22" s="38"/>
      <c r="I22" s="38"/>
      <c r="J22" s="53"/>
      <c r="K22" s="54"/>
    </row>
    <row r="23" spans="1:11" x14ac:dyDescent="0.25">
      <c r="A23" s="28" t="s">
        <v>129</v>
      </c>
      <c r="B23" s="41">
        <f>COUNT(B16:B21)</f>
        <v>6</v>
      </c>
      <c r="C23" s="28"/>
      <c r="D23" s="28"/>
      <c r="E23" s="28"/>
      <c r="F23" s="28"/>
      <c r="G23" s="28"/>
      <c r="H23" s="28"/>
      <c r="I23" s="28"/>
      <c r="J23" s="28"/>
      <c r="K23" s="28"/>
    </row>
    <row r="24" spans="1:11" x14ac:dyDescent="0.25">
      <c r="A24" s="28" t="s">
        <v>130</v>
      </c>
      <c r="B24" s="46"/>
      <c r="C24" s="42"/>
      <c r="D24" s="28"/>
      <c r="E24" s="28" t="s">
        <v>131</v>
      </c>
      <c r="F24" s="28"/>
      <c r="G24" s="33"/>
      <c r="H24" s="28"/>
      <c r="I24" s="28"/>
      <c r="J24" s="28"/>
      <c r="K24" s="28"/>
    </row>
    <row r="25" spans="1:11" ht="25" x14ac:dyDescent="0.25">
      <c r="A25" s="43" t="s">
        <v>132</v>
      </c>
      <c r="B25" s="44"/>
      <c r="C25" s="45"/>
      <c r="D25" s="28"/>
      <c r="E25" s="28"/>
      <c r="F25" s="28"/>
      <c r="G25" s="28"/>
      <c r="H25" s="28"/>
      <c r="I25" s="28"/>
      <c r="J25" s="28"/>
      <c r="K25" s="28"/>
    </row>
  </sheetData>
  <mergeCells count="18">
    <mergeCell ref="J21:K21"/>
    <mergeCell ref="J22:K22"/>
    <mergeCell ref="J15:K15"/>
    <mergeCell ref="J16:K16"/>
    <mergeCell ref="J17:K17"/>
    <mergeCell ref="J18:K18"/>
    <mergeCell ref="J19:K19"/>
    <mergeCell ref="J20:K20"/>
    <mergeCell ref="A14:K14"/>
    <mergeCell ref="A1:K1"/>
    <mergeCell ref="J2:K2"/>
    <mergeCell ref="J3:K3"/>
    <mergeCell ref="J4:K4"/>
    <mergeCell ref="J5:K5"/>
    <mergeCell ref="J6:K6"/>
    <mergeCell ref="J7:K7"/>
    <mergeCell ref="J8:K8"/>
    <mergeCell ref="J9:K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2.5" x14ac:dyDescent="0.2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FEC8DDE0-BAF5-4E3D-9BDA-482524814C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Inventory List and Food Cost</vt:lpstr>
      <vt:lpstr>Weekly and Monthly Income Stat.</vt:lpstr>
      <vt:lpstr>Menu Item Analysis</vt:lpstr>
      <vt:lpstr>Question Sheet</vt:lpstr>
      <vt:lpstr>'Inventory List and Food Cost'!Print_Titles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Inventory list</dc:title>
  <dc:creator>Dcleary</dc:creator>
  <cp:keywords/>
  <cp:lastModifiedBy>Shenice King</cp:lastModifiedBy>
  <cp:lastPrinted>2012-02-25T01:30:01Z</cp:lastPrinted>
  <dcterms:created xsi:type="dcterms:W3CDTF">2016-03-12T16:49:04Z</dcterms:created>
  <dcterms:modified xsi:type="dcterms:W3CDTF">2021-10-03T18:20:29Z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TC060827171033</vt:lpwstr>
  </property>
</Properties>
</file>